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trlProps/ctrlProp1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C29" lockStructure="1"/>
  <bookViews>
    <workbookView xWindow="1425" yWindow="210" windowWidth="10515" windowHeight="8865" tabRatio="467"/>
  </bookViews>
  <sheets>
    <sheet name="Cover Sheet" sheetId="46" r:id="rId1"/>
    <sheet name="Graphs" sheetId="22" r:id="rId2"/>
    <sheet name="Revenue Option Descriptions" sheetId="24" r:id="rId3"/>
    <sheet name="Receipts Tax" sheetId="45" state="hidden" r:id="rId4"/>
    <sheet name="All Rev &amp; Projects" sheetId="5" state="hidden" r:id="rId5"/>
    <sheet name="Endowment" sheetId="10" state="hidden" r:id="rId6"/>
    <sheet name="PFD  Limits &amp; SB 114" sheetId="39" state="hidden" r:id="rId7"/>
    <sheet name="Extended Forecast" sheetId="38" state="hidden" r:id="rId8"/>
    <sheet name="FY 16-25 GFUR" sheetId="37" state="hidden" r:id="rId9"/>
    <sheet name="Petroleum - Non CIT" sheetId="12" state="hidden" r:id="rId10"/>
    <sheet name="base tax rate changes" sheetId="30" state="hidden" r:id="rId11"/>
    <sheet name="other tax rate changes" sheetId="31" state="hidden" r:id="rId12"/>
    <sheet name="Gas Reserves Tax" sheetId="28" state="hidden" r:id="rId13"/>
    <sheet name="Credits detail tables" sheetId="32" state="hidden" r:id="rId14"/>
    <sheet name="Credit Detail w Confidentiality" sheetId="13" state="hidden" r:id="rId15"/>
    <sheet name="Sales Tax" sheetId="19" state="hidden" r:id="rId16"/>
    <sheet name="Fishing Taxes" sheetId="26" state="hidden" r:id="rId17"/>
    <sheet name="Fuel Tax" sheetId="27" state="hidden" r:id="rId18"/>
    <sheet name="Personal Income Tax" sheetId="9" state="hidden" r:id="rId19"/>
    <sheet name="Corp Income Tax" sheetId="36" state="hidden" r:id="rId20"/>
    <sheet name="Capital Gains" sheetId="41" state="hidden" r:id="rId21"/>
    <sheet name="Lottery" sheetId="6" state="hidden" r:id="rId22"/>
    <sheet name="Gaming" sheetId="21" state="hidden" r:id="rId23"/>
    <sheet name="PFD lottery" sheetId="35" state="hidden" r:id="rId24"/>
    <sheet name="Mining Tax" sheetId="25" state="hidden" r:id="rId25"/>
    <sheet name="School Tax" sheetId="7" state="hidden" r:id="rId26"/>
    <sheet name="Property Tax" sheetId="20" state="hidden" r:id="rId27"/>
    <sheet name="Child Support Fee" sheetId="16" state="hidden" r:id="rId28"/>
    <sheet name="Health Care Provider Tax" sheetId="17" state="hidden" r:id="rId29"/>
    <sheet name="Tobacco" sheetId="43" state="hidden" r:id="rId30"/>
    <sheet name="Alcohol Tax" sheetId="42" state="hidden" r:id="rId31"/>
    <sheet name="Debt Servicing" sheetId="18" state="hidden" r:id="rId32"/>
    <sheet name="Uncollected Funds" sheetId="34" state="hidden" r:id="rId33"/>
    <sheet name="Ambler and Juneau Road" sheetId="44" state="hidden" r:id="rId34"/>
    <sheet name="Budget Sensitivity" sheetId="29" state="hidden" r:id="rId35"/>
    <sheet name="SB 97" sheetId="40" state="hidden" r:id="rId36"/>
    <sheet name="Cat Tax" sheetId="14" state="hidden" r:id="rId37"/>
  </sheets>
  <externalReferences>
    <externalReference r:id="rId38"/>
    <externalReference r:id="rId39"/>
    <externalReference r:id="rId40"/>
  </externalReferences>
  <definedNames>
    <definedName name="_apf1" localSheetId="7">#REF!</definedName>
    <definedName name="_apf1" localSheetId="3">#REF!</definedName>
    <definedName name="_apf1">#REF!</definedName>
    <definedName name="_apf10" localSheetId="7">#REF!</definedName>
    <definedName name="_apf10">#REF!</definedName>
    <definedName name="_apf11">#REF!</definedName>
    <definedName name="_apf12">#REF!</definedName>
    <definedName name="_apf2">#REF!</definedName>
    <definedName name="_apf3">#REF!</definedName>
    <definedName name="_apf4">#REF!</definedName>
    <definedName name="_apf5">#REF!</definedName>
    <definedName name="_apf6">#REF!</definedName>
    <definedName name="_apf65">#REF!</definedName>
    <definedName name="_apf7">#REF!</definedName>
    <definedName name="_apf8">#REF!</definedName>
    <definedName name="_apf9">#REF!</definedName>
    <definedName name="_AtRisk_FitDataRange_FIT_30FA4_7F8AD" localSheetId="7" hidden="1">'Extended Forecast'!$BE$12:$BE$21</definedName>
    <definedName name="_AtRisk_FitDataRange_FIT_30FA4_7F8AD" hidden="1">#REF!</definedName>
    <definedName name="_AtRisk_FitDataRange_FIT_43641_DE57A" hidden="1">'Extended Forecast'!$Y$91:$Y$121</definedName>
    <definedName name="_AtRisk_SimSetting_AutomaticallyGenerateReports" hidden="1">FALSE</definedName>
    <definedName name="_AtRisk_SimSetting_AutomaticResultsDisplayMode" localSheetId="7" hidden="1">2</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localSheetId="7"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ACIFdeficit" localSheetId="7">'[1]YR End Res'!$AE$14</definedName>
    <definedName name="ACIFdeficit">'[2]YR End Res'!$AE$14</definedName>
    <definedName name="ACIFearnings" localSheetId="7">'[1]YR End Res'!$AE$12</definedName>
    <definedName name="ACIFearnings">'[2]YR End Res'!$AE$12</definedName>
    <definedName name="amht1" localSheetId="7">#REF!</definedName>
    <definedName name="amht1" localSheetId="3">#REF!</definedName>
    <definedName name="amht1">#REF!</definedName>
    <definedName name="amht10" localSheetId="7">#REF!</definedName>
    <definedName name="amht10">#REF!</definedName>
    <definedName name="amht2" localSheetId="7">#REF!</definedName>
    <definedName name="amht2">#REF!</definedName>
    <definedName name="amht3">#REF!</definedName>
    <definedName name="amht4">#REF!</definedName>
    <definedName name="amht5">#REF!</definedName>
    <definedName name="amht6">#REF!</definedName>
    <definedName name="amht7">#REF!</definedName>
    <definedName name="amht8">#REF!</definedName>
    <definedName name="amht9">#REF!</definedName>
    <definedName name="amhtarap">#REF!</definedName>
    <definedName name="amhtbs">#REF!</definedName>
    <definedName name="amhtfacct">#REF!</definedName>
    <definedName name="amhtfdata">#REF!</definedName>
    <definedName name="amhtis">#REF!</definedName>
    <definedName name="apfacct">#REF!</definedName>
    <definedName name="apfdata">#REF!</definedName>
    <definedName name="aste1">#REF!</definedName>
    <definedName name="aste10">#REF!</definedName>
    <definedName name="aste2">#REF!</definedName>
    <definedName name="aste3">#REF!</definedName>
    <definedName name="aste4">#REF!</definedName>
    <definedName name="aste5">#REF!</definedName>
    <definedName name="aste6">#REF!</definedName>
    <definedName name="aste7">#REF!</definedName>
    <definedName name="aste8">#REF!</definedName>
    <definedName name="aste9">#REF!</definedName>
    <definedName name="asteacct">#REF!</definedName>
    <definedName name="astedata">#REF!</definedName>
    <definedName name="BiTechData" localSheetId="7">[1]BiTechData!$A$1</definedName>
    <definedName name="BiTechData">[2]BiTechData!$A$1</definedName>
    <definedName name="BiTechFSData" localSheetId="7">[1]BiTechData!$A:$E</definedName>
    <definedName name="BiTechFSData">[2]BiTechData!$A:$E</definedName>
    <definedName name="Blah" localSheetId="3" hidden="1">{"'B'!$A$3:$T$15"}</definedName>
    <definedName name="Blah" hidden="1">{"'B'!$A$3:$T$15"}</definedName>
    <definedName name="BlueAMHTF" localSheetId="7">#REF!,#REF!,#REF!,#REF!,#REF!,#REF!,#REF!,#REF!,#REF!,#REF!,#REF!,#REF!,#REF!,#REF!</definedName>
    <definedName name="BlueAMHTF" localSheetId="3">#REF!,#REF!,#REF!,#REF!,#REF!,#REF!,#REF!,#REF!,#REF!,#REF!,#REF!,#REF!,#REF!,#REF!</definedName>
    <definedName name="BlueAMHTF">#REF!,#REF!,#REF!,#REF!,#REF!,#REF!,#REF!,#REF!,#REF!,#REF!,#REF!,#REF!,#REF!,#REF!</definedName>
    <definedName name="CAPITAL" localSheetId="7">#REF!</definedName>
    <definedName name="CAPITAL">#REF!</definedName>
    <definedName name="CPI" localSheetId="7">[1]CPI!$A$5:$Q$65536</definedName>
    <definedName name="CPI">[2]CPI!$A$5:$Q$65536</definedName>
    <definedName name="CPI_rounded" localSheetId="7">'[1]YR End Res'!$W$12</definedName>
    <definedName name="CPI_rounded">'[2]YR End Res'!$W$12</definedName>
    <definedName name="_xlnm.Criteria" localSheetId="3">#REF!</definedName>
    <definedName name="_xlnm.Criteria" localSheetId="2">#REF!</definedName>
    <definedName name="_xlnm.Criteria">#REF!</definedName>
    <definedName name="CurrentFYEnd" localSheetId="7">'[1]YR End Res'!$A$48</definedName>
    <definedName name="CurrentFYEnd">'[2]YR End Res'!$A$48</definedName>
    <definedName name="_xlnm.Database" localSheetId="3">#REF!</definedName>
    <definedName name="_xlnm.Database" localSheetId="2">#REF!</definedName>
    <definedName name="_xlnm.Database">#REF!</definedName>
    <definedName name="fyendamhtfacct" localSheetId="7">#REF!</definedName>
    <definedName name="fyendamhtfacct">#REF!</definedName>
    <definedName name="fyendamhtfdata">#REF!</definedName>
    <definedName name="fyendapfacct">#REF!</definedName>
    <definedName name="fyendapfdata">#REF!</definedName>
    <definedName name="fyendasteacct">#REF!</definedName>
    <definedName name="fyendastedata">#REF!</definedName>
    <definedName name="fyenditbefacct">#REF!</definedName>
    <definedName name="fyenditbefdata">#REF!</definedName>
    <definedName name="Historical_Income">#REF!</definedName>
    <definedName name="HP_All" localSheetId="7">'[1]High Precision Test'!$I$10:$J$65540</definedName>
    <definedName name="HP_All">'[2]High Precision Test'!$I$10:$J$65540</definedName>
    <definedName name="HP_AMHT" localSheetId="7">'[1]High Precision Test'!$M$10:$N$65540</definedName>
    <definedName name="HP_AMHT">'[2]High Precision Test'!$M$10:$N$65540</definedName>
    <definedName name="HTML_CodePage" hidden="1">1252</definedName>
    <definedName name="HTML_Control" localSheetId="3" hidden="1">{"'B'!$A$3:$T$15"}</definedName>
    <definedName name="HTML_Control" hidden="1">{"'B'!$A$3:$T$15"}</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"C:\IMAGES\MyHTML.htm"</definedName>
    <definedName name="HTML_Title" hidden="1">""</definedName>
    <definedName name="itbef1" localSheetId="7">#REF!</definedName>
    <definedName name="itbef1">#REF!</definedName>
    <definedName name="itbef10" localSheetId="7">#REF!</definedName>
    <definedName name="itbef10">#REF!</definedName>
    <definedName name="itbef2">#REF!</definedName>
    <definedName name="itbef3">#REF!</definedName>
    <definedName name="itbef4">#REF!</definedName>
    <definedName name="itbef5">#REF!</definedName>
    <definedName name="itbef6">#REF!</definedName>
    <definedName name="itbef7">#REF!</definedName>
    <definedName name="itbef8">#REF!</definedName>
    <definedName name="itbef9">#REF!</definedName>
    <definedName name="itbefacct">#REF!</definedName>
    <definedName name="itbefdata">#REF!</definedName>
    <definedName name="M">#REF!</definedName>
    <definedName name="MM">#REF!</definedName>
    <definedName name="MonthEnding" localSheetId="7">'[1]YR End Res'!$A$46</definedName>
    <definedName name="MonthEnding">'[2]YR End Res'!$A$46</definedName>
    <definedName name="MTD_RNI2AmHess" localSheetId="7">'[1]YR End Res'!$G$36</definedName>
    <definedName name="MTD_RNI2AmHess">'[2]YR End Res'!$G$36</definedName>
    <definedName name="no">[3]BiTechData!$A:$E</definedName>
    <definedName name="ok">[3]BiTechData!$A:$E</definedName>
    <definedName name="Pal_Workbook_GUID" localSheetId="7" hidden="1">"QQYH7ENI99Y7648HXX5I5LKB"</definedName>
    <definedName name="Pal_Workbook_GUID" hidden="1">"HGWE63YVV8TQRA5FP4KVCUDJ"</definedName>
    <definedName name="Performance" localSheetId="7">'Extended Forecast'!$R$71:$AR$82</definedName>
    <definedName name="Performance">#REF!</definedName>
    <definedName name="pramhtfacct" localSheetId="7">#REF!</definedName>
    <definedName name="pramhtfacct">#REF!</definedName>
    <definedName name="pramhtfdata" localSheetId="7">#REF!</definedName>
    <definedName name="pramhtfdata">#REF!</definedName>
    <definedName name="prapfacct">#REF!</definedName>
    <definedName name="prapfdata">#REF!</definedName>
    <definedName name="prasteacct">#REF!</definedName>
    <definedName name="prastedata">#REF!</definedName>
    <definedName name="prfyendamhtfacct">#REF!</definedName>
    <definedName name="prfyendamhtfdata">#REF!</definedName>
    <definedName name="prfyendapfacct">#REF!</definedName>
    <definedName name="prfyendapfdata">#REF!</definedName>
    <definedName name="prfyendasteacct">#REF!</definedName>
    <definedName name="prfyendastedata">#REF!</definedName>
    <definedName name="prfyenditbefacct">#REF!</definedName>
    <definedName name="prfyenditbefdata">#REF!</definedName>
    <definedName name="_xlnm.Print_Area" localSheetId="4">'All Rev &amp; Projects'!$B$2:$N$215</definedName>
    <definedName name="_xlnm.Print_Area" localSheetId="14">'Credit Detail w Confidentiality'!$A$1:$O$56</definedName>
    <definedName name="_xlnm.Print_Area" localSheetId="13">'Credits detail tables'!$A$1:$K$57</definedName>
    <definedName name="_xlnm.Print_Area" localSheetId="31">'Debt Servicing'!$A$1:$N$77</definedName>
    <definedName name="_xlnm.Print_Area" localSheetId="7">'Extended Forecast'!$A$1:$AR$86</definedName>
    <definedName name="_xlnm.Print_Area" localSheetId="8">'FY 16-25 GFUR'!$A$4:$K$86</definedName>
    <definedName name="_xlnm.Print_Area" localSheetId="21">Lottery!$A$6:$G$29</definedName>
    <definedName name="_xlnm.Print_Area" localSheetId="11">'other tax rate changes'!$A$1:$K$38</definedName>
    <definedName name="_xlnm.Print_Area" localSheetId="3">'Receipts Tax'!$C$7:$S$10</definedName>
    <definedName name="_xlnm.Print_Titles" localSheetId="31">'Debt Servicing'!$1:$5</definedName>
    <definedName name="pritbefacct" localSheetId="7">#REF!</definedName>
    <definedName name="pritbefacct" localSheetId="3">#REF!</definedName>
    <definedName name="pritbefacct">#REF!</definedName>
    <definedName name="pritbefdata" localSheetId="7">#REF!</definedName>
    <definedName name="pritbefdata">#REF!</definedName>
    <definedName name="Recon4" localSheetId="7">[1]Recon!#REF!</definedName>
    <definedName name="Recon4">[2]Recon!#REF!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localSheetId="7" hidden="1">TRUE</definedName>
    <definedName name="RiskMultipleCPUSupportEnabled" hidden="1">TRUE</definedName>
    <definedName name="RiskNumIterations" localSheetId="7" hidden="1">1000</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localSheetId="7" hidden="1">1</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localSheetId="7" hidden="1">TRUE</definedName>
    <definedName name="RiskUseMultipleCPUs" hidden="1">TRUE</definedName>
    <definedName name="RoundAMH" localSheetId="7">#REF!</definedName>
    <definedName name="RoundAMH">#REF!</definedName>
    <definedName name="RoundAMH2" localSheetId="7">#REF!</definedName>
    <definedName name="RoundAMH2">#REF!</definedName>
    <definedName name="RoundAPF" localSheetId="7">[1]APF!$P$1</definedName>
    <definedName name="RoundAPF">[2]APF!$P$1</definedName>
    <definedName name="sa" hidden="1">"QPNSMRIV9NDB8NV5LLAS9AN6"</definedName>
    <definedName name="YTD_RNI2AmHess" localSheetId="7">'[1]YR End Res'!$G$27</definedName>
    <definedName name="YTD_RNI2AmHess">'[2]YR End Res'!$G$27</definedName>
    <definedName name="Z_343FA47E_FDA6_4CED_8592_A0CCB1326A92_.wvu.Cols" localSheetId="7" hidden="1">'Extended Forecast'!$AS:$AS</definedName>
    <definedName name="Z_343FA47E_FDA6_4CED_8592_A0CCB1326A92_.wvu.PrintArea" localSheetId="7" hidden="1">'Extended Forecast'!$B$1:$AR$82</definedName>
    <definedName name="Z_343FA47E_FDA6_4CED_8592_A0CCB1326A92_.wvu.Rows" localSheetId="7" hidden="1">'Extended Forecast'!$30:$36</definedName>
    <definedName name="Z_6222D381_56F9_11D1_BE78_00A0C92A1ED0_.wvu.PrintArea" localSheetId="7" hidden="1">'Extended Forecast'!$B$1:$AP$63</definedName>
    <definedName name="Z_9B4BE8D3_266E_4B25_A821_19895FACF74F_.wvu.Cols" localSheetId="7" hidden="1">'Extended Forecast'!$AS:$AS</definedName>
    <definedName name="Z_9B4BE8D3_266E_4B25_A821_19895FACF74F_.wvu.PrintArea" localSheetId="7" hidden="1">'Extended Forecast'!$B$1:$AR$82</definedName>
    <definedName name="Z_9B4BE8D3_266E_4B25_A821_19895FACF74F_.wvu.Rows" localSheetId="7" hidden="1">'Extended Forecast'!$30:$36</definedName>
    <definedName name="Z_9FB1CD5B_8C53_4882_BA3B_6B3C2423F653_.wvu.Cols" localSheetId="7" hidden="1">'Extended Forecast'!$AS:$AS</definedName>
    <definedName name="Z_9FB1CD5B_8C53_4882_BA3B_6B3C2423F653_.wvu.PrintArea" localSheetId="7" hidden="1">'Extended Forecast'!$A$1:$AR$82</definedName>
    <definedName name="Z_9FB1CD5B_8C53_4882_BA3B_6B3C2423F653_.wvu.Rows" localSheetId="7" hidden="1">'Extended Forecast'!$30:$53</definedName>
    <definedName name="Z_E81D7E0C_78CC_4DB6_ACEF_DA413247E9C2_.wvu.PrintArea" localSheetId="7" hidden="1">'Extended Forecast'!$A$1:$AS$84</definedName>
    <definedName name="Z_E81D7E0C_78CC_4DB6_ACEF_DA413247E9C2_.wvu.Rows" localSheetId="7" hidden="1">'Extended Forecast'!$31:$37</definedName>
  </definedNames>
  <calcPr calcId="144525"/>
</workbook>
</file>

<file path=xl/calcChain.xml><?xml version="1.0" encoding="utf-8"?>
<calcChain xmlns="http://schemas.openxmlformats.org/spreadsheetml/2006/main">
  <c r="F10" i="28" l="1"/>
  <c r="F2" i="28" s="1"/>
  <c r="Q12" i="28"/>
  <c r="Q2" i="28" s="1"/>
  <c r="R12" i="28"/>
  <c r="R2" i="28" s="1"/>
  <c r="F9" i="28"/>
  <c r="G8" i="28"/>
  <c r="H8" i="28" s="1"/>
  <c r="E1" i="28"/>
  <c r="F1" i="28"/>
  <c r="G1" i="28" s="1"/>
  <c r="H1" i="28" s="1"/>
  <c r="I1" i="28" s="1"/>
  <c r="J1" i="28" s="1"/>
  <c r="K1" i="28" s="1"/>
  <c r="L1" i="28" s="1"/>
  <c r="M1" i="28" s="1"/>
  <c r="N1" i="28" s="1"/>
  <c r="O1" i="28" s="1"/>
  <c r="P1" i="28" s="1"/>
  <c r="Q1" i="28" s="1"/>
  <c r="R1" i="28" s="1"/>
  <c r="S1" i="28" s="1"/>
  <c r="T1" i="28" s="1"/>
  <c r="E6" i="28"/>
  <c r="F6" i="28"/>
  <c r="G6" i="28" s="1"/>
  <c r="H6" i="28" s="1"/>
  <c r="I6" i="28" s="1"/>
  <c r="J6" i="28" s="1"/>
  <c r="K6" i="28" s="1"/>
  <c r="L6" i="28" s="1"/>
  <c r="M6" i="28" s="1"/>
  <c r="N6" i="28" s="1"/>
  <c r="O6" i="28" s="1"/>
  <c r="P6" i="28" s="1"/>
  <c r="Q6" i="28" s="1"/>
  <c r="R6" i="28" s="1"/>
  <c r="S6" i="28" s="1"/>
  <c r="T6" i="28" s="1"/>
  <c r="F8" i="28"/>
  <c r="I8" i="28" l="1"/>
  <c r="H9" i="28"/>
  <c r="H10" i="28" s="1"/>
  <c r="H2" i="28" s="1"/>
  <c r="S12" i="28"/>
  <c r="G9" i="28"/>
  <c r="G10" i="28" s="1"/>
  <c r="G2" i="28" s="1"/>
  <c r="T12" i="28" l="1"/>
  <c r="T2" i="28" s="1"/>
  <c r="S2" i="28"/>
  <c r="I9" i="28"/>
  <c r="I10" i="28" s="1"/>
  <c r="I2" i="28" s="1"/>
  <c r="J8" i="28"/>
  <c r="J9" i="28" l="1"/>
  <c r="J10" i="28" s="1"/>
  <c r="J2" i="28" s="1"/>
  <c r="K8" i="28"/>
  <c r="K9" i="28" l="1"/>
  <c r="K10" i="28" s="1"/>
  <c r="K2" i="28" s="1"/>
  <c r="L8" i="28"/>
  <c r="B107" i="5"/>
  <c r="G107" i="5" s="1"/>
  <c r="D3" i="45"/>
  <c r="D4" i="45" s="1"/>
  <c r="E3" i="45"/>
  <c r="F3" i="45"/>
  <c r="F4" i="45" s="1"/>
  <c r="G3" i="45"/>
  <c r="H3" i="45"/>
  <c r="I3" i="45"/>
  <c r="J3" i="45"/>
  <c r="K3" i="45"/>
  <c r="L3" i="45"/>
  <c r="M3" i="45"/>
  <c r="N3" i="45"/>
  <c r="O3" i="45"/>
  <c r="P3" i="45"/>
  <c r="Q3" i="45"/>
  <c r="R3" i="45"/>
  <c r="S3" i="45"/>
  <c r="E8" i="45"/>
  <c r="F8" i="45" s="1"/>
  <c r="G8" i="45" s="1"/>
  <c r="H8" i="45" s="1"/>
  <c r="I8" i="45" s="1"/>
  <c r="J8" i="45" s="1"/>
  <c r="K8" i="45" s="1"/>
  <c r="L8" i="45" s="1"/>
  <c r="M8" i="45" s="1"/>
  <c r="N8" i="45" s="1"/>
  <c r="O8" i="45" s="1"/>
  <c r="P8" i="45" s="1"/>
  <c r="Q8" i="45" s="1"/>
  <c r="R8" i="45" s="1"/>
  <c r="S8" i="45" s="1"/>
  <c r="E9" i="45"/>
  <c r="F9" i="45" s="1"/>
  <c r="G9" i="45" s="1"/>
  <c r="E10" i="45"/>
  <c r="F10" i="45" s="1"/>
  <c r="G10" i="45" s="1"/>
  <c r="H10" i="45" s="1"/>
  <c r="I10" i="45" s="1"/>
  <c r="J10" i="45" s="1"/>
  <c r="K10" i="45" s="1"/>
  <c r="L10" i="45" s="1"/>
  <c r="M10" i="45" s="1"/>
  <c r="N10" i="45" s="1"/>
  <c r="O10" i="45" s="1"/>
  <c r="P10" i="45" s="1"/>
  <c r="Q10" i="45" s="1"/>
  <c r="R10" i="45" s="1"/>
  <c r="S10" i="45" s="1"/>
  <c r="G4" i="45" l="1"/>
  <c r="L9" i="28"/>
  <c r="L10" i="28" s="1"/>
  <c r="L2" i="28" s="1"/>
  <c r="M8" i="28"/>
  <c r="E4" i="45"/>
  <c r="R107" i="5"/>
  <c r="N107" i="5"/>
  <c r="J107" i="5"/>
  <c r="F107" i="5"/>
  <c r="Q107" i="5"/>
  <c r="M107" i="5"/>
  <c r="I107" i="5"/>
  <c r="T107" i="5"/>
  <c r="P107" i="5"/>
  <c r="L107" i="5"/>
  <c r="H107" i="5"/>
  <c r="S107" i="5"/>
  <c r="O107" i="5"/>
  <c r="K107" i="5"/>
  <c r="H9" i="45"/>
  <c r="N8" i="28" l="1"/>
  <c r="M9" i="28"/>
  <c r="M10" i="28" s="1"/>
  <c r="M2" i="28" s="1"/>
  <c r="I9" i="45"/>
  <c r="I4" i="45" s="1"/>
  <c r="H4" i="45"/>
  <c r="J9" i="45" l="1"/>
  <c r="J4" i="45" s="1"/>
  <c r="O8" i="28"/>
  <c r="N9" i="28"/>
  <c r="N10" i="28" s="1"/>
  <c r="N2" i="28" s="1"/>
  <c r="K9" i="45"/>
  <c r="K4" i="45" s="1"/>
  <c r="O9" i="28" l="1"/>
  <c r="O10" i="28" s="1"/>
  <c r="O2" i="28" s="1"/>
  <c r="P8" i="28"/>
  <c r="P9" i="28" s="1"/>
  <c r="P10" i="28" s="1"/>
  <c r="P2" i="28" s="1"/>
  <c r="L9" i="45"/>
  <c r="L4" i="45" s="1"/>
  <c r="M9" i="45" l="1"/>
  <c r="M4" i="45" s="1"/>
  <c r="N9" i="45" l="1"/>
  <c r="N4" i="45" s="1"/>
  <c r="O9" i="45" l="1"/>
  <c r="O4" i="45" s="1"/>
  <c r="P9" i="45" l="1"/>
  <c r="P4" i="45" s="1"/>
  <c r="Q9" i="45" l="1"/>
  <c r="Q4" i="45" s="1"/>
  <c r="R9" i="45" l="1"/>
  <c r="R4" i="45" s="1"/>
  <c r="S9" i="45" l="1"/>
  <c r="S4" i="45" s="1"/>
  <c r="E238" i="5" l="1"/>
  <c r="K6" i="39" l="1"/>
  <c r="C11" i="26"/>
  <c r="D11" i="26"/>
  <c r="E11" i="26"/>
  <c r="F11" i="26"/>
  <c r="G11" i="26"/>
  <c r="H11" i="26"/>
  <c r="I11" i="26"/>
  <c r="J11" i="26"/>
  <c r="K11" i="26"/>
  <c r="L11" i="26"/>
  <c r="M11" i="26"/>
  <c r="N11" i="26"/>
  <c r="O11" i="26"/>
  <c r="P11" i="26"/>
  <c r="Q11" i="26"/>
  <c r="R11" i="26"/>
  <c r="S11" i="26"/>
  <c r="D12" i="26"/>
  <c r="E12" i="26"/>
  <c r="F12" i="26"/>
  <c r="G12" i="26"/>
  <c r="H12" i="26"/>
  <c r="I12" i="26"/>
  <c r="J12" i="26"/>
  <c r="K12" i="26"/>
  <c r="L12" i="26"/>
  <c r="M12" i="26"/>
  <c r="N12" i="26"/>
  <c r="O12" i="26"/>
  <c r="P12" i="26"/>
  <c r="Q12" i="26"/>
  <c r="R12" i="26"/>
  <c r="S12" i="26"/>
  <c r="C12" i="26"/>
  <c r="D10" i="19" l="1"/>
  <c r="P22" i="32" l="1"/>
  <c r="O22" i="32"/>
  <c r="N22" i="32"/>
  <c r="M22" i="32"/>
  <c r="L22" i="32"/>
  <c r="K22" i="32"/>
  <c r="J22" i="32"/>
  <c r="I22" i="32"/>
  <c r="H22" i="32"/>
  <c r="G22" i="32"/>
  <c r="C23" i="32" l="1"/>
  <c r="C22" i="32" s="1"/>
  <c r="D23" i="32"/>
  <c r="D22" i="32" s="1"/>
  <c r="E23" i="32"/>
  <c r="E22" i="32" s="1"/>
  <c r="F23" i="32"/>
  <c r="F22" i="32" s="1"/>
  <c r="G23" i="32"/>
  <c r="H23" i="32"/>
  <c r="I23" i="32"/>
  <c r="J23" i="32"/>
  <c r="K23" i="32"/>
  <c r="L23" i="32"/>
  <c r="M23" i="32"/>
  <c r="N23" i="32"/>
  <c r="O23" i="32"/>
  <c r="P23" i="32"/>
  <c r="B23" i="32"/>
  <c r="B22" i="32" s="1"/>
  <c r="B40" i="32"/>
  <c r="C40" i="32"/>
  <c r="D40" i="32"/>
  <c r="E40" i="32"/>
  <c r="F40" i="32"/>
  <c r="G40" i="32"/>
  <c r="H40" i="32"/>
  <c r="I40" i="32"/>
  <c r="J40" i="32"/>
  <c r="K40" i="32"/>
  <c r="L40" i="32"/>
  <c r="M40" i="32"/>
  <c r="N40" i="32"/>
  <c r="O40" i="32"/>
  <c r="P40" i="32"/>
  <c r="B57" i="32"/>
  <c r="B39" i="32"/>
  <c r="AF42" i="32" l="1"/>
  <c r="AB42" i="32"/>
  <c r="AE42" i="32"/>
  <c r="AD42" i="32"/>
  <c r="AC42" i="32"/>
  <c r="AA42" i="32"/>
  <c r="Z42" i="32"/>
  <c r="Y42" i="32"/>
  <c r="X42" i="32"/>
  <c r="W42" i="32"/>
  <c r="V42" i="32"/>
  <c r="U42" i="32"/>
  <c r="T42" i="32"/>
  <c r="S42" i="32"/>
  <c r="R42" i="32"/>
  <c r="S43" i="32"/>
  <c r="T43" i="32"/>
  <c r="U43" i="32"/>
  <c r="V43" i="32"/>
  <c r="V41" i="32" s="1"/>
  <c r="W43" i="32"/>
  <c r="X43" i="32"/>
  <c r="Y43" i="32"/>
  <c r="Z43" i="32"/>
  <c r="Z41" i="32" s="1"/>
  <c r="AA43" i="32"/>
  <c r="AB43" i="32"/>
  <c r="AC43" i="32"/>
  <c r="AD43" i="32"/>
  <c r="AE43" i="32"/>
  <c r="AF43" i="32"/>
  <c r="R43" i="32"/>
  <c r="L12" i="13"/>
  <c r="B61" i="5"/>
  <c r="F61" i="5" s="1"/>
  <c r="AF41" i="32" l="1"/>
  <c r="X41" i="32"/>
  <c r="AE41" i="32"/>
  <c r="W41" i="32"/>
  <c r="AB41" i="32"/>
  <c r="R41" i="32"/>
  <c r="Y41" i="32"/>
  <c r="AD41" i="32"/>
  <c r="AC41" i="32"/>
  <c r="U41" i="32"/>
  <c r="T41" i="32"/>
  <c r="AA41" i="32"/>
  <c r="S41" i="32"/>
  <c r="P39" i="32"/>
  <c r="T61" i="5" s="1"/>
  <c r="O39" i="32"/>
  <c r="S61" i="5" s="1"/>
  <c r="N39" i="32"/>
  <c r="R61" i="5" s="1"/>
  <c r="M39" i="32"/>
  <c r="Q61" i="5" s="1"/>
  <c r="L39" i="32"/>
  <c r="P61" i="5" s="1"/>
  <c r="K39" i="32"/>
  <c r="O61" i="5" s="1"/>
  <c r="J39" i="32"/>
  <c r="N61" i="5" s="1"/>
  <c r="I39" i="32"/>
  <c r="M61" i="5" s="1"/>
  <c r="H39" i="32"/>
  <c r="L61" i="5" s="1"/>
  <c r="G39" i="32"/>
  <c r="K61" i="5" s="1"/>
  <c r="F39" i="32"/>
  <c r="J61" i="5" s="1"/>
  <c r="E39" i="32"/>
  <c r="I61" i="5" s="1"/>
  <c r="D39" i="32"/>
  <c r="H61" i="5" s="1"/>
  <c r="C39" i="32"/>
  <c r="G61" i="5" s="1"/>
  <c r="A39" i="32"/>
  <c r="C5" i="31"/>
  <c r="C4" i="31" s="1"/>
  <c r="G38" i="5" s="1"/>
  <c r="D5" i="31"/>
  <c r="D4" i="31" s="1"/>
  <c r="H38" i="5" s="1"/>
  <c r="E5" i="31"/>
  <c r="E4" i="31" s="1"/>
  <c r="I38" i="5" s="1"/>
  <c r="F5" i="31"/>
  <c r="F4" i="31" s="1"/>
  <c r="J38" i="5" s="1"/>
  <c r="G5" i="31"/>
  <c r="G4" i="31" s="1"/>
  <c r="K38" i="5" s="1"/>
  <c r="H5" i="31"/>
  <c r="H4" i="31" s="1"/>
  <c r="L38" i="5" s="1"/>
  <c r="I5" i="31"/>
  <c r="I4" i="31" s="1"/>
  <c r="M38" i="5" s="1"/>
  <c r="J5" i="31"/>
  <c r="J4" i="31" s="1"/>
  <c r="N38" i="5" s="1"/>
  <c r="K5" i="31"/>
  <c r="K4" i="31" s="1"/>
  <c r="O38" i="5" s="1"/>
  <c r="L5" i="31"/>
  <c r="L4" i="31" s="1"/>
  <c r="P38" i="5" s="1"/>
  <c r="M5" i="31"/>
  <c r="M4" i="31" s="1"/>
  <c r="Q38" i="5" s="1"/>
  <c r="N5" i="31"/>
  <c r="N4" i="31" s="1"/>
  <c r="R38" i="5" s="1"/>
  <c r="O5" i="31"/>
  <c r="O4" i="31" s="1"/>
  <c r="S38" i="5" s="1"/>
  <c r="P5" i="31"/>
  <c r="P4" i="31" s="1"/>
  <c r="T38" i="5" s="1"/>
  <c r="B5" i="31"/>
  <c r="B4" i="31" s="1"/>
  <c r="F38" i="5" s="1"/>
  <c r="C188" i="5" l="1"/>
  <c r="C245" i="5" l="1"/>
  <c r="C246" i="5"/>
  <c r="C244" i="5"/>
  <c r="H42" i="29" l="1"/>
  <c r="I42" i="29"/>
  <c r="J42" i="29"/>
  <c r="K42" i="29"/>
  <c r="L42" i="29"/>
  <c r="M42" i="29"/>
  <c r="N42" i="29"/>
  <c r="O42" i="29"/>
  <c r="P42" i="29"/>
  <c r="Q42" i="29"/>
  <c r="R42" i="29"/>
  <c r="S42" i="29"/>
  <c r="T42" i="29"/>
  <c r="F44" i="29"/>
  <c r="F45" i="29"/>
  <c r="F46" i="29"/>
  <c r="F47" i="29"/>
  <c r="F48" i="29"/>
  <c r="F49" i="29"/>
  <c r="F50" i="29"/>
  <c r="F51" i="29"/>
  <c r="F52" i="29"/>
  <c r="F53" i="29"/>
  <c r="F54" i="29"/>
  <c r="F55" i="29"/>
  <c r="F56" i="29"/>
  <c r="F57" i="29"/>
  <c r="F58" i="29"/>
  <c r="F59" i="29"/>
  <c r="F60" i="29"/>
  <c r="F61" i="29"/>
  <c r="G42" i="29"/>
  <c r="F43" i="29"/>
  <c r="F42" i="29"/>
  <c r="B159" i="5" l="1"/>
  <c r="Z32" i="13" l="1"/>
  <c r="Y32" i="13"/>
  <c r="X32" i="13"/>
  <c r="W32" i="13"/>
  <c r="V32" i="13"/>
  <c r="U32" i="13"/>
  <c r="T32" i="13"/>
  <c r="S32" i="13"/>
  <c r="R32" i="13"/>
  <c r="Q32" i="13"/>
  <c r="P32" i="13"/>
  <c r="O32" i="13"/>
  <c r="N32" i="13"/>
  <c r="M32" i="13"/>
  <c r="L32" i="13"/>
  <c r="K32" i="13"/>
  <c r="Z24" i="13"/>
  <c r="Z27" i="13" s="1"/>
  <c r="Y24" i="13"/>
  <c r="Y27" i="13" s="1"/>
  <c r="X24" i="13"/>
  <c r="X27" i="13" s="1"/>
  <c r="W24" i="13"/>
  <c r="W27" i="13" s="1"/>
  <c r="V24" i="13"/>
  <c r="V27" i="13" s="1"/>
  <c r="U24" i="13"/>
  <c r="U27" i="13" s="1"/>
  <c r="T24" i="13"/>
  <c r="T27" i="13" s="1"/>
  <c r="S24" i="13"/>
  <c r="S27" i="13" s="1"/>
  <c r="R24" i="13"/>
  <c r="R27" i="13" s="1"/>
  <c r="Q24" i="13"/>
  <c r="Q27" i="13" s="1"/>
  <c r="P24" i="13"/>
  <c r="P27" i="13" s="1"/>
  <c r="O24" i="13"/>
  <c r="O27" i="13" s="1"/>
  <c r="N24" i="13"/>
  <c r="N27" i="13" s="1"/>
  <c r="M24" i="13"/>
  <c r="M27" i="13" s="1"/>
  <c r="L24" i="13"/>
  <c r="L27" i="13" s="1"/>
  <c r="K24" i="13"/>
  <c r="K27" i="13" s="1"/>
  <c r="L14" i="13"/>
  <c r="K14" i="13"/>
  <c r="Z12" i="13"/>
  <c r="Z15" i="13" s="1"/>
  <c r="Y12" i="13"/>
  <c r="Y15" i="13" s="1"/>
  <c r="X12" i="13"/>
  <c r="X15" i="13" s="1"/>
  <c r="W12" i="13"/>
  <c r="W15" i="13" s="1"/>
  <c r="V12" i="13"/>
  <c r="V15" i="13" s="1"/>
  <c r="U12" i="13"/>
  <c r="U15" i="13" s="1"/>
  <c r="T12" i="13"/>
  <c r="T15" i="13" s="1"/>
  <c r="S12" i="13"/>
  <c r="S15" i="13" s="1"/>
  <c r="R12" i="13"/>
  <c r="R15" i="13" s="1"/>
  <c r="Q12" i="13"/>
  <c r="Q15" i="13" s="1"/>
  <c r="P12" i="13"/>
  <c r="P15" i="13" s="1"/>
  <c r="O12" i="13"/>
  <c r="O15" i="13" s="1"/>
  <c r="N12" i="13"/>
  <c r="N15" i="13" s="1"/>
  <c r="M12" i="13"/>
  <c r="M15" i="13" s="1"/>
  <c r="L15" i="13"/>
  <c r="K12" i="13"/>
  <c r="K15" i="13" s="1"/>
  <c r="Z9" i="13"/>
  <c r="Y9" i="13"/>
  <c r="X9" i="13"/>
  <c r="W9" i="13"/>
  <c r="V9" i="13"/>
  <c r="U9" i="13"/>
  <c r="T9" i="13"/>
  <c r="S9" i="13"/>
  <c r="R9" i="13"/>
  <c r="Q9" i="13"/>
  <c r="P9" i="13"/>
  <c r="O9" i="13"/>
  <c r="N9" i="13"/>
  <c r="M9" i="13"/>
  <c r="L9" i="13"/>
  <c r="L17" i="13" s="1"/>
  <c r="K9" i="13"/>
  <c r="J9" i="13"/>
  <c r="J17" i="13"/>
  <c r="G30" i="13"/>
  <c r="G31" i="13"/>
  <c r="E32" i="13"/>
  <c r="E34" i="13" s="1"/>
  <c r="J32" i="13"/>
  <c r="D34" i="13"/>
  <c r="F34" i="13"/>
  <c r="H34" i="13"/>
  <c r="I34" i="13"/>
  <c r="C35" i="13"/>
  <c r="D35" i="13"/>
  <c r="F35" i="13"/>
  <c r="G35" i="13"/>
  <c r="H35" i="13"/>
  <c r="I35" i="13"/>
  <c r="C36" i="13"/>
  <c r="D36" i="13"/>
  <c r="F36" i="13"/>
  <c r="H36" i="13"/>
  <c r="I36" i="13"/>
  <c r="G32" i="13" l="1"/>
  <c r="G36" i="13" s="1"/>
  <c r="O35" i="13"/>
  <c r="W35" i="13"/>
  <c r="O36" i="13"/>
  <c r="W36" i="13"/>
  <c r="K36" i="13"/>
  <c r="S17" i="13"/>
  <c r="K35" i="13"/>
  <c r="S35" i="13"/>
  <c r="N36" i="13"/>
  <c r="V36" i="13"/>
  <c r="Q35" i="13"/>
  <c r="Y35" i="13"/>
  <c r="Q36" i="13"/>
  <c r="Y36" i="13"/>
  <c r="R36" i="13"/>
  <c r="Z36" i="13"/>
  <c r="L36" i="13"/>
  <c r="T36" i="13"/>
  <c r="M36" i="13"/>
  <c r="U36" i="13"/>
  <c r="P35" i="13"/>
  <c r="X35" i="13"/>
  <c r="P36" i="13"/>
  <c r="X36" i="13"/>
  <c r="R35" i="13"/>
  <c r="Z35" i="13"/>
  <c r="Z34" i="13"/>
  <c r="S34" i="13"/>
  <c r="T34" i="13"/>
  <c r="M34" i="13"/>
  <c r="T35" i="13"/>
  <c r="N34" i="13"/>
  <c r="V34" i="13"/>
  <c r="M35" i="13"/>
  <c r="U35" i="13"/>
  <c r="O34" i="13"/>
  <c r="W34" i="13"/>
  <c r="N35" i="13"/>
  <c r="V35" i="13"/>
  <c r="P34" i="13"/>
  <c r="X34" i="13"/>
  <c r="R34" i="13"/>
  <c r="K34" i="13"/>
  <c r="L34" i="13"/>
  <c r="L37" i="13" s="1"/>
  <c r="U34" i="13"/>
  <c r="Q34" i="13"/>
  <c r="Y34" i="13"/>
  <c r="Z17" i="13"/>
  <c r="K17" i="13"/>
  <c r="S36" i="13"/>
  <c r="T17" i="13"/>
  <c r="L35" i="13"/>
  <c r="M17" i="13"/>
  <c r="N17" i="13"/>
  <c r="W17" i="13"/>
  <c r="P17" i="13"/>
  <c r="X17" i="13"/>
  <c r="R17" i="13"/>
  <c r="U17" i="13"/>
  <c r="V17" i="13"/>
  <c r="O17" i="13"/>
  <c r="Q17" i="13"/>
  <c r="Y17" i="13"/>
  <c r="G34" i="13"/>
  <c r="S37" i="13" l="1"/>
  <c r="N37" i="13"/>
  <c r="M37" i="13"/>
  <c r="V37" i="13"/>
  <c r="R37" i="13"/>
  <c r="P37" i="13"/>
  <c r="U37" i="13"/>
  <c r="W37" i="13"/>
  <c r="T37" i="13"/>
  <c r="X37" i="13"/>
  <c r="Y37" i="13"/>
  <c r="O37" i="13"/>
  <c r="Q37" i="13"/>
  <c r="K37" i="13"/>
  <c r="Z37" i="13"/>
  <c r="F75" i="32" l="1"/>
  <c r="D5" i="44"/>
  <c r="E5" i="44"/>
  <c r="F5" i="44"/>
  <c r="G5" i="44"/>
  <c r="H5" i="44"/>
  <c r="I5" i="44"/>
  <c r="J5" i="44"/>
  <c r="K5" i="44"/>
  <c r="L5" i="44"/>
  <c r="M5" i="44"/>
  <c r="N5" i="44"/>
  <c r="O5" i="44"/>
  <c r="P5" i="44"/>
  <c r="Q5" i="44"/>
  <c r="R5" i="44"/>
  <c r="C5" i="44"/>
  <c r="B164" i="5" l="1"/>
  <c r="F17" i="43"/>
  <c r="F18" i="43" s="1"/>
  <c r="C12" i="43" s="1"/>
  <c r="D12" i="43" s="1"/>
  <c r="E12" i="43" s="1"/>
  <c r="F12" i="43" s="1"/>
  <c r="G12" i="43" s="1"/>
  <c r="H12" i="43" s="1"/>
  <c r="I12" i="43" s="1"/>
  <c r="J12" i="43" s="1"/>
  <c r="K12" i="43" s="1"/>
  <c r="L12" i="43" s="1"/>
  <c r="M12" i="43" s="1"/>
  <c r="N12" i="43" s="1"/>
  <c r="O12" i="43" s="1"/>
  <c r="P12" i="43" s="1"/>
  <c r="Q12" i="43" s="1"/>
  <c r="R12" i="43" s="1"/>
  <c r="S12" i="43" s="1"/>
  <c r="B27" i="5" l="1"/>
  <c r="G6" i="20"/>
  <c r="H6" i="20"/>
  <c r="I6" i="20"/>
  <c r="J6" i="20"/>
  <c r="K6" i="20"/>
  <c r="L6" i="20"/>
  <c r="M6" i="20"/>
  <c r="N6" i="20"/>
  <c r="O6" i="20"/>
  <c r="P6" i="20"/>
  <c r="Q6" i="20"/>
  <c r="R6" i="20"/>
  <c r="S6" i="20"/>
  <c r="T6" i="20"/>
  <c r="F6" i="20"/>
  <c r="B147" i="5"/>
  <c r="E5" i="43"/>
  <c r="B5" i="43"/>
  <c r="B166" i="5" s="1"/>
  <c r="B73" i="5"/>
  <c r="D12" i="44" l="1"/>
  <c r="E12" i="44"/>
  <c r="F12" i="44"/>
  <c r="G12" i="44"/>
  <c r="H12" i="44"/>
  <c r="I12" i="44"/>
  <c r="J12" i="44"/>
  <c r="K12" i="44"/>
  <c r="L12" i="44"/>
  <c r="M12" i="44"/>
  <c r="N12" i="44"/>
  <c r="O12" i="44"/>
  <c r="P12" i="44"/>
  <c r="Q12" i="44"/>
  <c r="R12" i="44"/>
  <c r="C12" i="44"/>
  <c r="B195" i="5"/>
  <c r="B194" i="5"/>
  <c r="N175" i="5" l="1"/>
  <c r="O175" i="5"/>
  <c r="H175" i="5"/>
  <c r="P175" i="5"/>
  <c r="I175" i="5"/>
  <c r="Q175" i="5"/>
  <c r="J175" i="5"/>
  <c r="R175" i="5"/>
  <c r="K175" i="5"/>
  <c r="S175" i="5"/>
  <c r="L175" i="5"/>
  <c r="T175" i="5"/>
  <c r="M175" i="5"/>
  <c r="Q176" i="5"/>
  <c r="J195" i="5"/>
  <c r="R195" i="5"/>
  <c r="R176" i="5"/>
  <c r="K195" i="5"/>
  <c r="S195" i="5"/>
  <c r="S176" i="5"/>
  <c r="L195" i="5"/>
  <c r="T195" i="5"/>
  <c r="T176" i="5"/>
  <c r="M195" i="5"/>
  <c r="F195" i="5"/>
  <c r="N176" i="5"/>
  <c r="N195" i="5"/>
  <c r="G195" i="5"/>
  <c r="O195" i="5"/>
  <c r="O176" i="5"/>
  <c r="H195" i="5"/>
  <c r="P195" i="5"/>
  <c r="P176" i="5"/>
  <c r="I195" i="5"/>
  <c r="Q195" i="5"/>
  <c r="I194" i="5"/>
  <c r="N194" i="5"/>
  <c r="O194" i="5"/>
  <c r="G194" i="5"/>
  <c r="F194" i="5"/>
  <c r="M194" i="5"/>
  <c r="Q194" i="5"/>
  <c r="S194" i="5"/>
  <c r="K194" i="5"/>
  <c r="P194" i="5"/>
  <c r="H194" i="5"/>
  <c r="T194" i="5"/>
  <c r="L194" i="5"/>
  <c r="R194" i="5"/>
  <c r="J194" i="5"/>
  <c r="E29" i="43"/>
  <c r="F29" i="43"/>
  <c r="G29" i="43"/>
  <c r="H29" i="43"/>
  <c r="I29" i="43"/>
  <c r="J29" i="43"/>
  <c r="J22" i="43" s="1"/>
  <c r="K29" i="43"/>
  <c r="K22" i="43" s="1"/>
  <c r="L29" i="43"/>
  <c r="M29" i="43"/>
  <c r="M23" i="43" s="1"/>
  <c r="N29" i="43"/>
  <c r="N24" i="43" s="1"/>
  <c r="O29" i="43"/>
  <c r="O24" i="43" s="1"/>
  <c r="P29" i="43"/>
  <c r="P25" i="43" s="1"/>
  <c r="Q29" i="43"/>
  <c r="Q25" i="43" s="1"/>
  <c r="R29" i="43"/>
  <c r="R22" i="43" s="1"/>
  <c r="S29" i="43"/>
  <c r="S22" i="43" s="1"/>
  <c r="B165" i="5"/>
  <c r="G24" i="43" l="1"/>
  <c r="G22" i="43"/>
  <c r="F24" i="43"/>
  <c r="F22" i="43"/>
  <c r="I25" i="43"/>
  <c r="I22" i="43"/>
  <c r="H25" i="43"/>
  <c r="H22" i="43"/>
  <c r="L23" i="43"/>
  <c r="L22" i="43"/>
  <c r="P26" i="43"/>
  <c r="L26" i="43"/>
  <c r="L24" i="43"/>
  <c r="F165" i="5"/>
  <c r="G26" i="43"/>
  <c r="O26" i="43"/>
  <c r="S25" i="43"/>
  <c r="K24" i="43"/>
  <c r="G25" i="43"/>
  <c r="S23" i="43"/>
  <c r="S26" i="43"/>
  <c r="K26" i="43"/>
  <c r="K5" i="43" s="1"/>
  <c r="L165" i="5" s="1"/>
  <c r="S24" i="43"/>
  <c r="F26" i="43"/>
  <c r="F25" i="43"/>
  <c r="N26" i="43"/>
  <c r="I26" i="43"/>
  <c r="L25" i="43"/>
  <c r="P22" i="43"/>
  <c r="Q26" i="43"/>
  <c r="M26" i="43"/>
  <c r="H26" i="43"/>
  <c r="O25" i="43"/>
  <c r="K25" i="43"/>
  <c r="M24" i="43"/>
  <c r="K23" i="43"/>
  <c r="O22" i="43"/>
  <c r="N22" i="43"/>
  <c r="N25" i="43"/>
  <c r="M25" i="43"/>
  <c r="Q22" i="43"/>
  <c r="M22" i="43"/>
  <c r="R23" i="43"/>
  <c r="J23" i="43"/>
  <c r="Q23" i="43"/>
  <c r="I23" i="43"/>
  <c r="R24" i="43"/>
  <c r="J24" i="43"/>
  <c r="P23" i="43"/>
  <c r="H23" i="43"/>
  <c r="Q24" i="43"/>
  <c r="I24" i="43"/>
  <c r="O23" i="43"/>
  <c r="G23" i="43"/>
  <c r="R25" i="43"/>
  <c r="J25" i="43"/>
  <c r="P24" i="43"/>
  <c r="H24" i="43"/>
  <c r="N23" i="43"/>
  <c r="F23" i="43"/>
  <c r="R26" i="43"/>
  <c r="J26" i="43"/>
  <c r="J156" i="22"/>
  <c r="J157" i="22" s="1"/>
  <c r="J158" i="22" s="1"/>
  <c r="J159" i="22" s="1"/>
  <c r="J160" i="22" s="1"/>
  <c r="J161" i="22" s="1"/>
  <c r="J162" i="22" s="1"/>
  <c r="J163" i="22" s="1"/>
  <c r="J164" i="22" s="1"/>
  <c r="B163" i="5"/>
  <c r="B3" i="43" s="1"/>
  <c r="B4" i="43" s="1"/>
  <c r="B161" i="5"/>
  <c r="B2" i="43" s="1"/>
  <c r="B162" i="5"/>
  <c r="B160" i="5"/>
  <c r="B4" i="42"/>
  <c r="D1" i="43"/>
  <c r="E1" i="43" s="1"/>
  <c r="F1" i="43" s="1"/>
  <c r="G1" i="43" s="1"/>
  <c r="H1" i="43" s="1"/>
  <c r="I1" i="43" s="1"/>
  <c r="J1" i="43" s="1"/>
  <c r="K1" i="43" s="1"/>
  <c r="L1" i="43" s="1"/>
  <c r="M1" i="43" s="1"/>
  <c r="N1" i="43" s="1"/>
  <c r="O1" i="43" s="1"/>
  <c r="P1" i="43" s="1"/>
  <c r="Q1" i="43" s="1"/>
  <c r="R1" i="43" s="1"/>
  <c r="S1" i="43" s="1"/>
  <c r="D3" i="42"/>
  <c r="E3" i="42" s="1"/>
  <c r="F3" i="42" s="1"/>
  <c r="G3" i="42" s="1"/>
  <c r="H3" i="42" s="1"/>
  <c r="I3" i="42" s="1"/>
  <c r="J3" i="42" s="1"/>
  <c r="K3" i="42" s="1"/>
  <c r="L3" i="42" s="1"/>
  <c r="M3" i="42" s="1"/>
  <c r="N3" i="42" s="1"/>
  <c r="O3" i="42" s="1"/>
  <c r="P3" i="42" s="1"/>
  <c r="Q3" i="42" s="1"/>
  <c r="R3" i="42" s="1"/>
  <c r="S3" i="42" s="1"/>
  <c r="J5" i="43" l="1"/>
  <c r="K165" i="5" s="1"/>
  <c r="R5" i="43"/>
  <c r="S165" i="5" s="1"/>
  <c r="S5" i="43"/>
  <c r="T165" i="5" s="1"/>
  <c r="E11" i="42"/>
  <c r="F11" i="42" s="1"/>
  <c r="E10" i="42"/>
  <c r="F10" i="42" s="1"/>
  <c r="E13" i="42"/>
  <c r="F13" i="42" s="1"/>
  <c r="E12" i="42"/>
  <c r="F12" i="42" s="1"/>
  <c r="F5" i="43"/>
  <c r="G165" i="5" s="1"/>
  <c r="H5" i="43"/>
  <c r="I165" i="5" s="1"/>
  <c r="C4" i="43"/>
  <c r="D4" i="43"/>
  <c r="E4" i="43"/>
  <c r="F164" i="5" s="1"/>
  <c r="F4" i="43"/>
  <c r="G164" i="5" s="1"/>
  <c r="G4" i="43"/>
  <c r="H164" i="5" s="1"/>
  <c r="H4" i="43"/>
  <c r="I164" i="5" s="1"/>
  <c r="M4" i="43"/>
  <c r="N164" i="5" s="1"/>
  <c r="L4" i="43"/>
  <c r="M164" i="5" s="1"/>
  <c r="K4" i="43"/>
  <c r="L164" i="5" s="1"/>
  <c r="S4" i="43"/>
  <c r="T164" i="5" s="1"/>
  <c r="R4" i="43"/>
  <c r="S164" i="5" s="1"/>
  <c r="I4" i="43"/>
  <c r="J164" i="5" s="1"/>
  <c r="J4" i="43"/>
  <c r="K164" i="5" s="1"/>
  <c r="P4" i="43"/>
  <c r="Q164" i="5" s="1"/>
  <c r="Q4" i="43"/>
  <c r="R164" i="5" s="1"/>
  <c r="O4" i="43"/>
  <c r="P164" i="5" s="1"/>
  <c r="N4" i="43"/>
  <c r="O164" i="5" s="1"/>
  <c r="F3" i="43"/>
  <c r="G162" i="5" s="1"/>
  <c r="J3" i="43"/>
  <c r="K162" i="5" s="1"/>
  <c r="N3" i="43"/>
  <c r="O162" i="5" s="1"/>
  <c r="R3" i="43"/>
  <c r="S162" i="5" s="1"/>
  <c r="K3" i="43"/>
  <c r="S3" i="43"/>
  <c r="T162" i="5" s="1"/>
  <c r="D3" i="43"/>
  <c r="L3" i="43"/>
  <c r="M162" i="5" s="1"/>
  <c r="P3" i="43"/>
  <c r="M3" i="43"/>
  <c r="G3" i="43"/>
  <c r="O3" i="43"/>
  <c r="P162" i="5" s="1"/>
  <c r="C3" i="43"/>
  <c r="E3" i="43"/>
  <c r="Q3" i="43"/>
  <c r="R162" i="5" s="1"/>
  <c r="H3" i="43"/>
  <c r="I162" i="5" s="1"/>
  <c r="I3" i="43"/>
  <c r="F2" i="43"/>
  <c r="J2" i="43"/>
  <c r="N2" i="43"/>
  <c r="R2" i="43"/>
  <c r="S160" i="5" s="1"/>
  <c r="S2" i="43"/>
  <c r="T160" i="5" s="1"/>
  <c r="L2" i="43"/>
  <c r="M160" i="5" s="1"/>
  <c r="E2" i="43"/>
  <c r="Q2" i="43"/>
  <c r="C2" i="43"/>
  <c r="G2" i="43"/>
  <c r="K2" i="43"/>
  <c r="L160" i="5" s="1"/>
  <c r="O2" i="43"/>
  <c r="P160" i="5" s="1"/>
  <c r="P2" i="43"/>
  <c r="Q160" i="5" s="1"/>
  <c r="I2" i="43"/>
  <c r="J160" i="5" s="1"/>
  <c r="D2" i="43"/>
  <c r="H2" i="43"/>
  <c r="I160" i="5" s="1"/>
  <c r="M2" i="43"/>
  <c r="N160" i="5" s="1"/>
  <c r="M5" i="43"/>
  <c r="N165" i="5" s="1"/>
  <c r="Q5" i="43"/>
  <c r="R165" i="5" s="1"/>
  <c r="I5" i="43"/>
  <c r="J165" i="5" s="1"/>
  <c r="O5" i="43"/>
  <c r="P165" i="5" s="1"/>
  <c r="L5" i="43"/>
  <c r="M165" i="5" s="1"/>
  <c r="N5" i="43"/>
  <c r="O165" i="5" s="1"/>
  <c r="G5" i="43"/>
  <c r="H165" i="5" s="1"/>
  <c r="P5" i="43"/>
  <c r="Q165" i="5" s="1"/>
  <c r="H162" i="5"/>
  <c r="K160" i="5"/>
  <c r="Q162" i="5"/>
  <c r="N162" i="5"/>
  <c r="J162" i="5"/>
  <c r="R160" i="5"/>
  <c r="L162" i="5"/>
  <c r="F162" i="5"/>
  <c r="H160" i="5"/>
  <c r="O160" i="5"/>
  <c r="G160" i="5"/>
  <c r="F160" i="5"/>
  <c r="I4" i="42" l="1"/>
  <c r="Q4" i="42"/>
  <c r="S4" i="42"/>
  <c r="J4" i="42"/>
  <c r="R4" i="42"/>
  <c r="C4" i="42"/>
  <c r="K4" i="42"/>
  <c r="D4" i="42"/>
  <c r="L4" i="42"/>
  <c r="E4" i="42"/>
  <c r="M4" i="42"/>
  <c r="F4" i="42"/>
  <c r="N4" i="42"/>
  <c r="G4" i="42"/>
  <c r="O4" i="42"/>
  <c r="H4" i="42"/>
  <c r="P4" i="42"/>
  <c r="E184" i="5" l="1"/>
  <c r="F30" i="29"/>
  <c r="F31" i="29"/>
  <c r="F32" i="29"/>
  <c r="F29" i="29"/>
  <c r="F8" i="29"/>
  <c r="F9" i="29"/>
  <c r="F10" i="29"/>
  <c r="F11" i="29"/>
  <c r="F12" i="29"/>
  <c r="F13" i="29"/>
  <c r="F14" i="29"/>
  <c r="F15" i="29"/>
  <c r="F16" i="29"/>
  <c r="F17" i="29"/>
  <c r="F18" i="29"/>
  <c r="F19" i="29"/>
  <c r="F20" i="29"/>
  <c r="F21" i="29"/>
  <c r="F22" i="29"/>
  <c r="F23" i="29"/>
  <c r="F24" i="29"/>
  <c r="F25" i="29"/>
  <c r="F7" i="29"/>
  <c r="F2" i="40"/>
  <c r="F3" i="40"/>
  <c r="F4" i="40"/>
  <c r="F5" i="40"/>
  <c r="B117" i="5" l="1"/>
  <c r="B11" i="41" s="1"/>
  <c r="B116" i="5"/>
  <c r="B119" i="5"/>
  <c r="B142" i="5"/>
  <c r="N142" i="5" s="1"/>
  <c r="F14" i="40"/>
  <c r="G14" i="40" s="1"/>
  <c r="H14" i="40" s="1"/>
  <c r="I14" i="40" s="1"/>
  <c r="J14" i="40" s="1"/>
  <c r="K14" i="40" s="1"/>
  <c r="L14" i="40" s="1"/>
  <c r="M14" i="40" s="1"/>
  <c r="N14" i="40" s="1"/>
  <c r="O14" i="40" s="1"/>
  <c r="P14" i="40" s="1"/>
  <c r="Q14" i="40" s="1"/>
  <c r="R14" i="40" s="1"/>
  <c r="S14" i="40" s="1"/>
  <c r="T14" i="40" s="1"/>
  <c r="U14" i="40" s="1"/>
  <c r="V14" i="40" s="1"/>
  <c r="W14" i="40" s="1"/>
  <c r="F142" i="5" l="1"/>
  <c r="L142" i="5"/>
  <c r="S142" i="5"/>
  <c r="J142" i="5"/>
  <c r="R142" i="5"/>
  <c r="I142" i="5"/>
  <c r="Q142" i="5"/>
  <c r="P142" i="5"/>
  <c r="G142" i="5"/>
  <c r="O142" i="5"/>
  <c r="M142" i="5"/>
  <c r="T142" i="5"/>
  <c r="K142" i="5"/>
  <c r="H142" i="5"/>
  <c r="M4" i="41"/>
  <c r="C11" i="41" s="1"/>
  <c r="C12" i="41" l="1"/>
  <c r="D11" i="41"/>
  <c r="D12" i="41" s="1"/>
  <c r="F6" i="40"/>
  <c r="E15" i="40" s="1"/>
  <c r="F15" i="40" s="1"/>
  <c r="G15" i="40" s="1"/>
  <c r="H15" i="40" s="1"/>
  <c r="I15" i="40" s="1"/>
  <c r="J15" i="40" s="1"/>
  <c r="K15" i="40" s="1"/>
  <c r="L15" i="40" s="1"/>
  <c r="M15" i="40" s="1"/>
  <c r="N15" i="40" s="1"/>
  <c r="O15" i="40" s="1"/>
  <c r="P15" i="40" s="1"/>
  <c r="Q15" i="40" s="1"/>
  <c r="R15" i="40" s="1"/>
  <c r="S15" i="40" s="1"/>
  <c r="T15" i="40" s="1"/>
  <c r="U15" i="40" s="1"/>
  <c r="V15" i="40" s="1"/>
  <c r="W15" i="40" s="1"/>
  <c r="E11" i="41" l="1"/>
  <c r="F11" i="41" s="1"/>
  <c r="E12" i="41" l="1"/>
  <c r="G11" i="41"/>
  <c r="F12" i="41"/>
  <c r="B23" i="5"/>
  <c r="K60" i="10" s="1"/>
  <c r="A22" i="5"/>
  <c r="B22" i="5" s="1"/>
  <c r="A20" i="5"/>
  <c r="B20" i="5" s="1"/>
  <c r="M61" i="10"/>
  <c r="V11" i="39"/>
  <c r="V12" i="39" s="1"/>
  <c r="W11" i="39"/>
  <c r="W12" i="39" s="1"/>
  <c r="X11" i="39"/>
  <c r="X12" i="39" s="1"/>
  <c r="Y11" i="39"/>
  <c r="Y12" i="39" s="1"/>
  <c r="Z11" i="39"/>
  <c r="Z12" i="39" s="1"/>
  <c r="AA11" i="39"/>
  <c r="AA12" i="39" s="1"/>
  <c r="AB11" i="39"/>
  <c r="AB12" i="39" s="1"/>
  <c r="AC11" i="39"/>
  <c r="AC12" i="39" s="1"/>
  <c r="AD11" i="39"/>
  <c r="AD12" i="39" s="1"/>
  <c r="AE11" i="39"/>
  <c r="AE12" i="39" s="1"/>
  <c r="AF11" i="39"/>
  <c r="AF12" i="39" s="1"/>
  <c r="AG11" i="39"/>
  <c r="AG12" i="39" s="1"/>
  <c r="AH11" i="39"/>
  <c r="AH12" i="39" s="1"/>
  <c r="AI11" i="39"/>
  <c r="AI12" i="39" s="1"/>
  <c r="AJ11" i="39"/>
  <c r="AJ12" i="39" s="1"/>
  <c r="AK11" i="39"/>
  <c r="AK12" i="39" s="1"/>
  <c r="H11" i="41" l="1"/>
  <c r="G12" i="41"/>
  <c r="F116" i="5" s="1"/>
  <c r="I11" i="41" l="1"/>
  <c r="H12" i="41"/>
  <c r="G116" i="5" s="1"/>
  <c r="B16" i="5"/>
  <c r="J11" i="41" l="1"/>
  <c r="I12" i="41"/>
  <c r="H116" i="5" s="1"/>
  <c r="X92" i="38"/>
  <c r="K11" i="41" l="1"/>
  <c r="J12" i="41"/>
  <c r="I116" i="5" s="1"/>
  <c r="F24" i="35"/>
  <c r="C25" i="29"/>
  <c r="G40" i="29"/>
  <c r="H40" i="29"/>
  <c r="I40" i="29"/>
  <c r="J40" i="29"/>
  <c r="K40" i="29"/>
  <c r="L40" i="29"/>
  <c r="M40" i="29"/>
  <c r="N40" i="29"/>
  <c r="O40" i="29"/>
  <c r="P40" i="29"/>
  <c r="Q40" i="29"/>
  <c r="R40" i="29"/>
  <c r="S40" i="29"/>
  <c r="T40" i="29"/>
  <c r="F40" i="29"/>
  <c r="C8" i="29"/>
  <c r="C9" i="29"/>
  <c r="C10" i="29"/>
  <c r="C11" i="29"/>
  <c r="C12" i="29"/>
  <c r="C13" i="29"/>
  <c r="C14" i="29"/>
  <c r="C15" i="29"/>
  <c r="C16" i="29"/>
  <c r="C17" i="29"/>
  <c r="C18" i="29"/>
  <c r="C19" i="29"/>
  <c r="C20" i="29"/>
  <c r="C21" i="29"/>
  <c r="C22" i="29"/>
  <c r="C23" i="29"/>
  <c r="C24" i="29"/>
  <c r="C7" i="29"/>
  <c r="F3" i="29"/>
  <c r="G3" i="29"/>
  <c r="H3" i="29"/>
  <c r="I3" i="29"/>
  <c r="J3" i="29"/>
  <c r="K3" i="29"/>
  <c r="L3" i="29"/>
  <c r="M3" i="29"/>
  <c r="N3" i="29"/>
  <c r="O3" i="29"/>
  <c r="P3" i="29"/>
  <c r="Q3" i="29"/>
  <c r="R3" i="29"/>
  <c r="S3" i="29"/>
  <c r="T3" i="29"/>
  <c r="L11" i="41" l="1"/>
  <c r="K12" i="41"/>
  <c r="J116" i="5" s="1"/>
  <c r="O57" i="10"/>
  <c r="P57" i="10"/>
  <c r="Q57" i="10"/>
  <c r="R57" i="10"/>
  <c r="S57" i="10"/>
  <c r="T57" i="10"/>
  <c r="U57" i="10"/>
  <c r="V57" i="10"/>
  <c r="W57" i="10"/>
  <c r="X57" i="10"/>
  <c r="Y57" i="10"/>
  <c r="Z57" i="10"/>
  <c r="AA57" i="10"/>
  <c r="AB57" i="10"/>
  <c r="N57" i="10"/>
  <c r="D61" i="39"/>
  <c r="D62" i="39"/>
  <c r="D63" i="39"/>
  <c r="D64" i="39"/>
  <c r="D65" i="39"/>
  <c r="D66" i="39"/>
  <c r="D67" i="39"/>
  <c r="D68" i="39"/>
  <c r="D69" i="39"/>
  <c r="D70" i="39"/>
  <c r="D71" i="39"/>
  <c r="D72" i="39"/>
  <c r="D73" i="39"/>
  <c r="D74" i="39"/>
  <c r="D75" i="39"/>
  <c r="D60" i="39"/>
  <c r="M11" i="41" l="1"/>
  <c r="L12" i="41"/>
  <c r="K116" i="5" s="1"/>
  <c r="P23" i="39"/>
  <c r="P24" i="39" s="1"/>
  <c r="P25" i="39" s="1"/>
  <c r="P26" i="39" s="1"/>
  <c r="P27" i="39" s="1"/>
  <c r="P28" i="39" s="1"/>
  <c r="P29" i="39" s="1"/>
  <c r="P30" i="39" s="1"/>
  <c r="P31" i="39" s="1"/>
  <c r="P32" i="39" s="1"/>
  <c r="P33" i="39" s="1"/>
  <c r="P34" i="39" s="1"/>
  <c r="P35" i="39" s="1"/>
  <c r="P36" i="39" s="1"/>
  <c r="P37" i="39" s="1"/>
  <c r="K19" i="39"/>
  <c r="N11" i="41" l="1"/>
  <c r="M12" i="41"/>
  <c r="L116" i="5" s="1"/>
  <c r="B18" i="5"/>
  <c r="K21" i="39"/>
  <c r="K20" i="39"/>
  <c r="O20" i="39" s="1"/>
  <c r="L19" i="39"/>
  <c r="O11" i="41" l="1"/>
  <c r="O12" i="41" s="1"/>
  <c r="N116" i="5" s="1"/>
  <c r="N12" i="41"/>
  <c r="M116" i="5" s="1"/>
  <c r="L21" i="39"/>
  <c r="O21" i="39" s="1"/>
  <c r="N21" i="39"/>
  <c r="L20" i="39"/>
  <c r="N20" i="39"/>
  <c r="BG23" i="38"/>
  <c r="BG24" i="38"/>
  <c r="BG25" i="38"/>
  <c r="BG26" i="38"/>
  <c r="BG27" i="38"/>
  <c r="BG28" i="38"/>
  <c r="BG29" i="38"/>
  <c r="BG30" i="38"/>
  <c r="BG31" i="38"/>
  <c r="BG32" i="38"/>
  <c r="BG33" i="38"/>
  <c r="BG34" i="38"/>
  <c r="BG35" i="38"/>
  <c r="BG36" i="38"/>
  <c r="BG37" i="38"/>
  <c r="BG38" i="38"/>
  <c r="BG39" i="38"/>
  <c r="BG40" i="38"/>
  <c r="BG41" i="38"/>
  <c r="BG42" i="38"/>
  <c r="BG43" i="38"/>
  <c r="BG44" i="38"/>
  <c r="BG45" i="38"/>
  <c r="BG46" i="38"/>
  <c r="BG47" i="38"/>
  <c r="BG48" i="38"/>
  <c r="BG49" i="38"/>
  <c r="BG50" i="38"/>
  <c r="BG51" i="38"/>
  <c r="BG52" i="38"/>
  <c r="BG22" i="38"/>
  <c r="X93" i="38"/>
  <c r="X94" i="38" s="1"/>
  <c r="X95" i="38" s="1"/>
  <c r="X96" i="38" s="1"/>
  <c r="X97" i="38" s="1"/>
  <c r="X98" i="38" s="1"/>
  <c r="X99" i="38" s="1"/>
  <c r="X100" i="38" s="1"/>
  <c r="X101" i="38" s="1"/>
  <c r="X102" i="38" s="1"/>
  <c r="X103" i="38" s="1"/>
  <c r="X104" i="38" s="1"/>
  <c r="X105" i="38" s="1"/>
  <c r="X106" i="38" s="1"/>
  <c r="X107" i="38" s="1"/>
  <c r="X108" i="38" s="1"/>
  <c r="X109" i="38" s="1"/>
  <c r="X110" i="38" s="1"/>
  <c r="X111" i="38" s="1"/>
  <c r="X112" i="38" s="1"/>
  <c r="X113" i="38" s="1"/>
  <c r="X114" i="38" s="1"/>
  <c r="X115" i="38" s="1"/>
  <c r="X116" i="38" s="1"/>
  <c r="X117" i="38" s="1"/>
  <c r="X118" i="38" s="1"/>
  <c r="X119" i="38" s="1"/>
  <c r="X120" i="38" s="1"/>
  <c r="X121" i="38" s="1"/>
  <c r="P22" i="31"/>
  <c r="T41" i="5" s="1"/>
  <c r="B22" i="31"/>
  <c r="F41" i="5" s="1"/>
  <c r="C22" i="31"/>
  <c r="G41" i="5" s="1"/>
  <c r="D22" i="31"/>
  <c r="H41" i="5" s="1"/>
  <c r="E22" i="31"/>
  <c r="I41" i="5" s="1"/>
  <c r="F22" i="31"/>
  <c r="J41" i="5" s="1"/>
  <c r="G22" i="31"/>
  <c r="K41" i="5" s="1"/>
  <c r="H22" i="31"/>
  <c r="L41" i="5" s="1"/>
  <c r="I22" i="31"/>
  <c r="M41" i="5" s="1"/>
  <c r="J22" i="31"/>
  <c r="N41" i="5" s="1"/>
  <c r="K22" i="31"/>
  <c r="O41" i="5" s="1"/>
  <c r="L22" i="31"/>
  <c r="P41" i="5" s="1"/>
  <c r="M22" i="31"/>
  <c r="Q41" i="5" s="1"/>
  <c r="N22" i="31"/>
  <c r="R41" i="5" s="1"/>
  <c r="O22" i="31"/>
  <c r="S41" i="5" s="1"/>
  <c r="A22" i="31"/>
  <c r="Y91" i="38"/>
  <c r="Y92" i="38" s="1"/>
  <c r="Y93" i="38" s="1"/>
  <c r="Y94" i="38" s="1"/>
  <c r="Y95" i="38" s="1"/>
  <c r="Y96" i="38" s="1"/>
  <c r="Y97" i="38" s="1"/>
  <c r="Y98" i="38" s="1"/>
  <c r="Y99" i="38" s="1"/>
  <c r="Y100" i="38" s="1"/>
  <c r="Y101" i="38" s="1"/>
  <c r="Y102" i="38" s="1"/>
  <c r="Y103" i="38" s="1"/>
  <c r="Y104" i="38" s="1"/>
  <c r="Y105" i="38" s="1"/>
  <c r="Y106" i="38" s="1"/>
  <c r="Y107" i="38" s="1"/>
  <c r="Y108" i="38" s="1"/>
  <c r="Y109" i="38" s="1"/>
  <c r="Y110" i="38" s="1"/>
  <c r="Y111" i="38" s="1"/>
  <c r="Y112" i="38" s="1"/>
  <c r="Y113" i="38" s="1"/>
  <c r="Y114" i="38" s="1"/>
  <c r="Y115" i="38" s="1"/>
  <c r="Y116" i="38" s="1"/>
  <c r="Y117" i="38" s="1"/>
  <c r="Y118" i="38" s="1"/>
  <c r="Y119" i="38" s="1"/>
  <c r="Y120" i="38" s="1"/>
  <c r="Y121" i="38" s="1"/>
  <c r="BA20" i="38"/>
  <c r="AU21" i="38"/>
  <c r="AU22" i="38" s="1"/>
  <c r="AU23" i="38" s="1"/>
  <c r="AU24" i="38" s="1"/>
  <c r="AU25" i="38" s="1"/>
  <c r="AU26" i="38" s="1"/>
  <c r="AU27" i="38" s="1"/>
  <c r="AU28" i="38" s="1"/>
  <c r="AU29" i="38" s="1"/>
  <c r="AU30" i="38" s="1"/>
  <c r="AU31" i="38" s="1"/>
  <c r="AU32" i="38" s="1"/>
  <c r="AU33" i="38" s="1"/>
  <c r="AU34" i="38" s="1"/>
  <c r="AU35" i="38" s="1"/>
  <c r="AU36" i="38" s="1"/>
  <c r="AU37" i="38" s="1"/>
  <c r="AU38" i="38" s="1"/>
  <c r="AU39" i="38" s="1"/>
  <c r="AU40" i="38" s="1"/>
  <c r="AU41" i="38" s="1"/>
  <c r="AU42" i="38" s="1"/>
  <c r="AU43" i="38" s="1"/>
  <c r="AU44" i="38" s="1"/>
  <c r="AU45" i="38" s="1"/>
  <c r="AU46" i="38" s="1"/>
  <c r="AU47" i="38" s="1"/>
  <c r="AU48" i="38" s="1"/>
  <c r="AU49" i="38" s="1"/>
  <c r="AU50" i="38" s="1"/>
  <c r="AU51" i="38" s="1"/>
  <c r="AU52" i="38" s="1"/>
  <c r="AV21" i="38"/>
  <c r="AV22" i="38" s="1"/>
  <c r="AV23" i="38" s="1"/>
  <c r="AV24" i="38" s="1"/>
  <c r="AV25" i="38" s="1"/>
  <c r="AV26" i="38" s="1"/>
  <c r="AV27" i="38" s="1"/>
  <c r="AV28" i="38" s="1"/>
  <c r="AV29" i="38" s="1"/>
  <c r="AV30" i="38" s="1"/>
  <c r="AV31" i="38" s="1"/>
  <c r="AV32" i="38" s="1"/>
  <c r="AV33" i="38" s="1"/>
  <c r="AV34" i="38" s="1"/>
  <c r="AV35" i="38" s="1"/>
  <c r="AV36" i="38" s="1"/>
  <c r="AV37" i="38" s="1"/>
  <c r="AV38" i="38" s="1"/>
  <c r="AV39" i="38" s="1"/>
  <c r="AV40" i="38" s="1"/>
  <c r="AV41" i="38" s="1"/>
  <c r="AV42" i="38" s="1"/>
  <c r="AV43" i="38" s="1"/>
  <c r="AV44" i="38" s="1"/>
  <c r="AV45" i="38" s="1"/>
  <c r="AV46" i="38" s="1"/>
  <c r="AV47" i="38" s="1"/>
  <c r="AV48" i="38" s="1"/>
  <c r="AV49" i="38" s="1"/>
  <c r="AV50" i="38" s="1"/>
  <c r="AV51" i="38" s="1"/>
  <c r="AV52" i="38" s="1"/>
  <c r="AW21" i="38"/>
  <c r="AX21" i="38" s="1"/>
  <c r="D21" i="38"/>
  <c r="H59" i="38"/>
  <c r="J59" i="38" s="1"/>
  <c r="AW22" i="38"/>
  <c r="AX22" i="38" s="1"/>
  <c r="AC22" i="38" s="1"/>
  <c r="W92" i="38"/>
  <c r="W93" i="38" s="1"/>
  <c r="W94" i="38" s="1"/>
  <c r="W95" i="38" s="1"/>
  <c r="W96" i="38" s="1"/>
  <c r="W97" i="38" s="1"/>
  <c r="W98" i="38" s="1"/>
  <c r="W99" i="38" s="1"/>
  <c r="W100" i="38" s="1"/>
  <c r="W101" i="38" s="1"/>
  <c r="W102" i="38" s="1"/>
  <c r="W103" i="38" s="1"/>
  <c r="W104" i="38" s="1"/>
  <c r="W105" i="38" s="1"/>
  <c r="W106" i="38" s="1"/>
  <c r="W107" i="38" s="1"/>
  <c r="W108" i="38" s="1"/>
  <c r="W109" i="38" s="1"/>
  <c r="W110" i="38" s="1"/>
  <c r="W111" i="38" s="1"/>
  <c r="W112" i="38" s="1"/>
  <c r="W113" i="38" s="1"/>
  <c r="W114" i="38" s="1"/>
  <c r="W115" i="38" s="1"/>
  <c r="W116" i="38" s="1"/>
  <c r="W117" i="38" s="1"/>
  <c r="W118" i="38" s="1"/>
  <c r="W119" i="38" s="1"/>
  <c r="W120" i="38" s="1"/>
  <c r="W121" i="38" s="1"/>
  <c r="H104" i="38"/>
  <c r="H105" i="38" s="1"/>
  <c r="H33" i="38" s="1"/>
  <c r="O94" i="38"/>
  <c r="O95" i="38" s="1"/>
  <c r="O96" i="38" s="1"/>
  <c r="O97" i="38" s="1"/>
  <c r="O98" i="38" s="1"/>
  <c r="O99" i="38" s="1"/>
  <c r="O100" i="38" s="1"/>
  <c r="O101" i="38" s="1"/>
  <c r="O102" i="38" s="1"/>
  <c r="O80" i="38"/>
  <c r="O83" i="38" s="1"/>
  <c r="B69" i="38"/>
  <c r="J62" i="38"/>
  <c r="L61" i="38"/>
  <c r="H61" i="38"/>
  <c r="J61" i="38" s="1"/>
  <c r="L60" i="38"/>
  <c r="H60" i="38"/>
  <c r="J60" i="38" s="1"/>
  <c r="L58" i="38"/>
  <c r="H58" i="38"/>
  <c r="J58" i="38" s="1"/>
  <c r="D58" i="38"/>
  <c r="D59" i="38" s="1"/>
  <c r="D60" i="38" s="1"/>
  <c r="D61" i="38" s="1"/>
  <c r="L57" i="38"/>
  <c r="J57" i="38"/>
  <c r="F54" i="38"/>
  <c r="AY21" i="38"/>
  <c r="AY22" i="38" s="1"/>
  <c r="AY23" i="38" s="1"/>
  <c r="AY24" i="38" s="1"/>
  <c r="AY25" i="38" s="1"/>
  <c r="AY26" i="38" s="1"/>
  <c r="AY27" i="38" s="1"/>
  <c r="AY28" i="38" s="1"/>
  <c r="AY29" i="38" s="1"/>
  <c r="AY30" i="38" s="1"/>
  <c r="AY31" i="38" s="1"/>
  <c r="AY32" i="38" s="1"/>
  <c r="AY33" i="38" s="1"/>
  <c r="AY34" i="38" s="1"/>
  <c r="AY35" i="38" s="1"/>
  <c r="AY36" i="38" s="1"/>
  <c r="AY37" i="38" s="1"/>
  <c r="AY38" i="38" s="1"/>
  <c r="AY39" i="38" s="1"/>
  <c r="AY40" i="38" s="1"/>
  <c r="AY41" i="38" s="1"/>
  <c r="AY42" i="38" s="1"/>
  <c r="AY43" i="38" s="1"/>
  <c r="AY44" i="38" s="1"/>
  <c r="AY45" i="38" s="1"/>
  <c r="AY46" i="38" s="1"/>
  <c r="AY47" i="38" s="1"/>
  <c r="AY48" i="38" s="1"/>
  <c r="AY49" i="38" s="1"/>
  <c r="AY50" i="38" s="1"/>
  <c r="AY51" i="38" s="1"/>
  <c r="AY52" i="38" s="1"/>
  <c r="BD20" i="38"/>
  <c r="BE20" i="38" s="1"/>
  <c r="BB20" i="38"/>
  <c r="AZ20" i="38"/>
  <c r="AX20" i="38"/>
  <c r="AS20" i="38"/>
  <c r="BD19" i="38"/>
  <c r="BB19" i="38"/>
  <c r="BC19" i="38" s="1"/>
  <c r="BA19" i="38"/>
  <c r="AZ19" i="38"/>
  <c r="BD18" i="38"/>
  <c r="BB18" i="38"/>
  <c r="BE18" i="38" s="1"/>
  <c r="BA18" i="38"/>
  <c r="AZ18" i="38"/>
  <c r="BD17" i="38"/>
  <c r="BB17" i="38"/>
  <c r="BA17" i="38"/>
  <c r="AZ17" i="38"/>
  <c r="BD16" i="38"/>
  <c r="BB16" i="38"/>
  <c r="BE16" i="38" s="1"/>
  <c r="BA16" i="38"/>
  <c r="AZ16" i="38"/>
  <c r="AS16" i="38"/>
  <c r="BD15" i="38"/>
  <c r="BC15" i="38" s="1"/>
  <c r="BB15" i="38"/>
  <c r="BA15" i="38"/>
  <c r="AZ15" i="38"/>
  <c r="BD14" i="38"/>
  <c r="BE14" i="38" s="1"/>
  <c r="BB14" i="38"/>
  <c r="BA14" i="38"/>
  <c r="AZ14" i="38"/>
  <c r="BD13" i="38"/>
  <c r="BB13" i="38"/>
  <c r="BA13" i="38"/>
  <c r="AZ13" i="38"/>
  <c r="B13" i="38"/>
  <c r="B14" i="38" s="1"/>
  <c r="B15" i="38" s="1"/>
  <c r="B16" i="38" s="1"/>
  <c r="B17" i="38" s="1"/>
  <c r="B18" i="38" s="1"/>
  <c r="B19" i="38" s="1"/>
  <c r="B20" i="38" s="1"/>
  <c r="AO20" i="38" s="1"/>
  <c r="BD12" i="38"/>
  <c r="BB12" i="38"/>
  <c r="BC12" i="38" s="1"/>
  <c r="BA12" i="38"/>
  <c r="AZ12" i="38"/>
  <c r="AO11" i="38"/>
  <c r="F11" i="38"/>
  <c r="L2" i="38"/>
  <c r="C38" i="29"/>
  <c r="F38" i="29" s="1"/>
  <c r="G38" i="29" s="1"/>
  <c r="H38" i="29" s="1"/>
  <c r="I38" i="29" s="1"/>
  <c r="J38" i="29" s="1"/>
  <c r="K38" i="29" s="1"/>
  <c r="L38" i="29" s="1"/>
  <c r="M38" i="29" s="1"/>
  <c r="N38" i="29" s="1"/>
  <c r="O38" i="29" s="1"/>
  <c r="P38" i="29" s="1"/>
  <c r="Q38" i="29" s="1"/>
  <c r="R38" i="29" s="1"/>
  <c r="S38" i="29" s="1"/>
  <c r="T38" i="29" s="1"/>
  <c r="N64" i="29"/>
  <c r="N65" i="29"/>
  <c r="N66" i="29"/>
  <c r="N67" i="29"/>
  <c r="N68" i="29"/>
  <c r="N69" i="29"/>
  <c r="N70" i="29"/>
  <c r="N71" i="29"/>
  <c r="N72" i="29"/>
  <c r="N73" i="29"/>
  <c r="N63" i="29"/>
  <c r="B45" i="29"/>
  <c r="G9" i="29" s="1"/>
  <c r="H9" i="29" s="1"/>
  <c r="I9" i="29" s="1"/>
  <c r="J9" i="29" s="1"/>
  <c r="K9" i="29" s="1"/>
  <c r="L9" i="29" s="1"/>
  <c r="M9" i="29" s="1"/>
  <c r="N9" i="29" s="1"/>
  <c r="O9" i="29" s="1"/>
  <c r="P9" i="29" s="1"/>
  <c r="Q9" i="29" s="1"/>
  <c r="R9" i="29" s="1"/>
  <c r="S9" i="29" s="1"/>
  <c r="T9" i="29" s="1"/>
  <c r="E27" i="29"/>
  <c r="D2" i="30"/>
  <c r="E2" i="30"/>
  <c r="F2" i="30"/>
  <c r="G2" i="30"/>
  <c r="H2" i="30"/>
  <c r="I2" i="30"/>
  <c r="J2" i="30"/>
  <c r="K2" i="30"/>
  <c r="L2" i="30"/>
  <c r="M2" i="30"/>
  <c r="N2" i="30"/>
  <c r="O2" i="30"/>
  <c r="P2" i="30"/>
  <c r="B2" i="30"/>
  <c r="C2" i="30"/>
  <c r="C1" i="30"/>
  <c r="D1" i="30" s="1"/>
  <c r="E1" i="30" s="1"/>
  <c r="F1" i="30" s="1"/>
  <c r="G1" i="30" s="1"/>
  <c r="H1" i="30" s="1"/>
  <c r="I1" i="30" s="1"/>
  <c r="J1" i="30" s="1"/>
  <c r="K1" i="30" s="1"/>
  <c r="L1" i="30" s="1"/>
  <c r="M1" i="30" s="1"/>
  <c r="N1" i="30" s="1"/>
  <c r="O1" i="30" s="1"/>
  <c r="P1" i="30" s="1"/>
  <c r="O70" i="10"/>
  <c r="O74" i="10" s="1"/>
  <c r="P70" i="10"/>
  <c r="P74" i="10" s="1"/>
  <c r="Q70" i="10"/>
  <c r="Q74" i="10" s="1"/>
  <c r="R70" i="10"/>
  <c r="R74" i="10" s="1"/>
  <c r="S70" i="10"/>
  <c r="S74" i="10" s="1"/>
  <c r="T70" i="10"/>
  <c r="T74" i="10" s="1"/>
  <c r="U70" i="10"/>
  <c r="U74" i="10" s="1"/>
  <c r="V70" i="10"/>
  <c r="V74" i="10" s="1"/>
  <c r="W70" i="10"/>
  <c r="W74" i="10" s="1"/>
  <c r="X70" i="10"/>
  <c r="X74" i="10" s="1"/>
  <c r="Y70" i="10"/>
  <c r="Y74" i="10" s="1"/>
  <c r="Z70" i="10"/>
  <c r="Z74" i="10" s="1"/>
  <c r="AA70" i="10"/>
  <c r="AA74" i="10" s="1"/>
  <c r="AB70" i="10"/>
  <c r="AB74" i="10" s="1"/>
  <c r="N70" i="10"/>
  <c r="N74" i="10" s="1"/>
  <c r="M71" i="10"/>
  <c r="M72" i="10"/>
  <c r="P126" i="32"/>
  <c r="O126" i="32"/>
  <c r="N126" i="32"/>
  <c r="M126" i="32"/>
  <c r="L126" i="32"/>
  <c r="K126" i="32"/>
  <c r="J126" i="32"/>
  <c r="I126" i="32"/>
  <c r="H126" i="32"/>
  <c r="G126" i="32"/>
  <c r="F126" i="32"/>
  <c r="E126" i="32"/>
  <c r="D126" i="32"/>
  <c r="C126" i="32"/>
  <c r="B126" i="32"/>
  <c r="A126" i="32"/>
  <c r="P109" i="32"/>
  <c r="O109" i="32"/>
  <c r="N109" i="32"/>
  <c r="M109" i="32"/>
  <c r="L109" i="32"/>
  <c r="K109" i="32"/>
  <c r="J109" i="32"/>
  <c r="I109" i="32"/>
  <c r="H109" i="32"/>
  <c r="G109" i="32"/>
  <c r="F109" i="32"/>
  <c r="E109" i="32"/>
  <c r="D109" i="32"/>
  <c r="C109" i="32"/>
  <c r="B109" i="32"/>
  <c r="A109" i="32"/>
  <c r="P92" i="32"/>
  <c r="O92" i="32"/>
  <c r="N92" i="32"/>
  <c r="M92" i="32"/>
  <c r="L92" i="32"/>
  <c r="K92" i="32"/>
  <c r="J92" i="32"/>
  <c r="I92" i="32"/>
  <c r="H92" i="32"/>
  <c r="G92" i="32"/>
  <c r="F92" i="32"/>
  <c r="E92" i="32"/>
  <c r="D92" i="32"/>
  <c r="C92" i="32"/>
  <c r="B92" i="32"/>
  <c r="A92" i="32"/>
  <c r="P75" i="32"/>
  <c r="T84" i="5" s="1"/>
  <c r="O75" i="32"/>
  <c r="S84" i="5" s="1"/>
  <c r="N75" i="32"/>
  <c r="R84" i="5" s="1"/>
  <c r="M75" i="32"/>
  <c r="Q84" i="5" s="1"/>
  <c r="L75" i="32"/>
  <c r="P84" i="5" s="1"/>
  <c r="K75" i="32"/>
  <c r="O84" i="5" s="1"/>
  <c r="J75" i="32"/>
  <c r="I75" i="32"/>
  <c r="M84" i="5" s="1"/>
  <c r="H75" i="32"/>
  <c r="L84" i="5" s="1"/>
  <c r="G75" i="32"/>
  <c r="K84" i="5" s="1"/>
  <c r="E75" i="32"/>
  <c r="D75" i="32"/>
  <c r="C75" i="32"/>
  <c r="B75" i="32"/>
  <c r="A75" i="32"/>
  <c r="P57" i="32"/>
  <c r="O57" i="32"/>
  <c r="N57" i="32"/>
  <c r="M57" i="32"/>
  <c r="L57" i="32"/>
  <c r="K57" i="32"/>
  <c r="J57" i="32"/>
  <c r="I57" i="32"/>
  <c r="H57" i="32"/>
  <c r="G57" i="32"/>
  <c r="F57" i="32"/>
  <c r="E57" i="32"/>
  <c r="D57" i="32"/>
  <c r="C57" i="32"/>
  <c r="A57" i="32"/>
  <c r="A22" i="32"/>
  <c r="L4" i="32"/>
  <c r="M4" i="32"/>
  <c r="N4" i="32"/>
  <c r="O4" i="32"/>
  <c r="P4" i="32"/>
  <c r="C4" i="32"/>
  <c r="D4" i="32"/>
  <c r="E4" i="32"/>
  <c r="F4" i="32"/>
  <c r="G4" i="32"/>
  <c r="H4" i="32"/>
  <c r="I4" i="32"/>
  <c r="J4" i="32"/>
  <c r="K4" i="32"/>
  <c r="B4" i="32"/>
  <c r="A4" i="32"/>
  <c r="A2" i="37"/>
  <c r="H2" i="37"/>
  <c r="L8" i="5" s="1"/>
  <c r="C1" i="37"/>
  <c r="D1" i="37"/>
  <c r="E1" i="37"/>
  <c r="F1" i="37"/>
  <c r="G1" i="37"/>
  <c r="H1" i="37"/>
  <c r="I1" i="37"/>
  <c r="J1" i="37"/>
  <c r="K1" i="37"/>
  <c r="L1" i="37"/>
  <c r="M1" i="37"/>
  <c r="N1" i="37"/>
  <c r="O1" i="37"/>
  <c r="P1" i="37"/>
  <c r="B1" i="37"/>
  <c r="C2" i="37"/>
  <c r="G8" i="5" s="1"/>
  <c r="D2" i="37"/>
  <c r="H8" i="5" s="1"/>
  <c r="E2" i="37"/>
  <c r="I8" i="5" s="1"/>
  <c r="F2" i="37"/>
  <c r="J8" i="5" s="1"/>
  <c r="G2" i="37"/>
  <c r="K8" i="5" s="1"/>
  <c r="I2" i="37"/>
  <c r="M8" i="5" s="1"/>
  <c r="J2" i="37"/>
  <c r="N8" i="5" s="1"/>
  <c r="K2" i="37"/>
  <c r="O8" i="5" s="1"/>
  <c r="L2" i="37"/>
  <c r="P8" i="5" s="1"/>
  <c r="M2" i="37"/>
  <c r="Q8" i="5" s="1"/>
  <c r="N2" i="37"/>
  <c r="R8" i="5" s="1"/>
  <c r="O2" i="37"/>
  <c r="S8" i="5" s="1"/>
  <c r="P2" i="37"/>
  <c r="T8" i="5" s="1"/>
  <c r="B2" i="37"/>
  <c r="F8" i="5" s="1"/>
  <c r="B120" i="5"/>
  <c r="D4" i="36" s="1"/>
  <c r="B123" i="5"/>
  <c r="M123" i="5" s="1"/>
  <c r="B124" i="5"/>
  <c r="D13" i="36"/>
  <c r="F13" i="36" s="1"/>
  <c r="D14" i="36"/>
  <c r="F14" i="36" s="1"/>
  <c r="D15" i="36"/>
  <c r="F15" i="36" s="1"/>
  <c r="D16" i="36"/>
  <c r="F16" i="36" s="1"/>
  <c r="D17" i="36"/>
  <c r="F17" i="36" s="1"/>
  <c r="D18" i="36"/>
  <c r="F18" i="36" s="1"/>
  <c r="D19" i="36"/>
  <c r="F19" i="36" s="1"/>
  <c r="D20" i="36"/>
  <c r="F20" i="36" s="1"/>
  <c r="D12" i="36"/>
  <c r="F26" i="36"/>
  <c r="G3" i="36"/>
  <c r="H3" i="36" s="1"/>
  <c r="I3" i="36" s="1"/>
  <c r="J3" i="36" s="1"/>
  <c r="K3" i="36" s="1"/>
  <c r="L3" i="36" s="1"/>
  <c r="M3" i="36" s="1"/>
  <c r="N3" i="36" s="1"/>
  <c r="O3" i="36" s="1"/>
  <c r="P3" i="36" s="1"/>
  <c r="Q3" i="36" s="1"/>
  <c r="R3" i="36" s="1"/>
  <c r="S3" i="36" s="1"/>
  <c r="T3" i="36" s="1"/>
  <c r="U3" i="36" s="1"/>
  <c r="M14" i="36"/>
  <c r="M15" i="36"/>
  <c r="M16" i="36"/>
  <c r="M17" i="36"/>
  <c r="M13" i="36"/>
  <c r="E17" i="35"/>
  <c r="F16" i="35"/>
  <c r="B15" i="5"/>
  <c r="M207" i="5" s="1"/>
  <c r="G22" i="35"/>
  <c r="H22" i="35"/>
  <c r="I22" i="35"/>
  <c r="J22" i="35"/>
  <c r="K22" i="35"/>
  <c r="L22" i="35"/>
  <c r="M22" i="35"/>
  <c r="N22" i="35"/>
  <c r="O22" i="35"/>
  <c r="P22" i="35"/>
  <c r="Q22" i="35"/>
  <c r="R22" i="35"/>
  <c r="S22" i="35"/>
  <c r="T22" i="35"/>
  <c r="F22" i="35"/>
  <c r="G20" i="35"/>
  <c r="G16" i="35" s="1"/>
  <c r="B169" i="5"/>
  <c r="F169" i="5" s="1"/>
  <c r="D2" i="34"/>
  <c r="E1" i="34"/>
  <c r="F1" i="34" s="1"/>
  <c r="G1" i="34" s="1"/>
  <c r="H1" i="34" s="1"/>
  <c r="I1" i="34" s="1"/>
  <c r="J1" i="34" s="1"/>
  <c r="K1" i="34" s="1"/>
  <c r="L1" i="34" s="1"/>
  <c r="M1" i="34" s="1"/>
  <c r="N1" i="34" s="1"/>
  <c r="O1" i="34" s="1"/>
  <c r="P1" i="34" s="1"/>
  <c r="Q1" i="34" s="1"/>
  <c r="R1" i="34" s="1"/>
  <c r="D8" i="34"/>
  <c r="D217" i="5"/>
  <c r="E205" i="5"/>
  <c r="H12" i="27"/>
  <c r="E8" i="27"/>
  <c r="E208" i="5"/>
  <c r="E231" i="5" s="1"/>
  <c r="B114" i="5"/>
  <c r="A3" i="9" s="1"/>
  <c r="B41" i="5"/>
  <c r="A2" i="12"/>
  <c r="B2" i="12" s="1"/>
  <c r="B156" i="22"/>
  <c r="B157" i="22" s="1"/>
  <c r="B158" i="22" s="1"/>
  <c r="B159" i="22" s="1"/>
  <c r="B160" i="22" s="1"/>
  <c r="B161" i="22" s="1"/>
  <c r="B162" i="22" s="1"/>
  <c r="B163" i="22" s="1"/>
  <c r="B164" i="22" s="1"/>
  <c r="B165" i="22" s="1"/>
  <c r="B166" i="22" s="1"/>
  <c r="B167" i="22" s="1"/>
  <c r="B168" i="22" s="1"/>
  <c r="B169" i="22" s="1"/>
  <c r="B170" i="22" s="1"/>
  <c r="B171" i="22" s="1"/>
  <c r="B172" i="22" s="1"/>
  <c r="B173" i="22" s="1"/>
  <c r="B174" i="22" s="1"/>
  <c r="E33" i="29"/>
  <c r="F33" i="29" s="1"/>
  <c r="D33" i="29"/>
  <c r="D27" i="29"/>
  <c r="D35" i="29" s="1"/>
  <c r="B190" i="5"/>
  <c r="B96" i="5"/>
  <c r="H15" i="27"/>
  <c r="H14" i="27"/>
  <c r="H13" i="27"/>
  <c r="T8" i="27"/>
  <c r="S8" i="27"/>
  <c r="R8" i="27"/>
  <c r="Q8" i="27"/>
  <c r="P8" i="27"/>
  <c r="O8" i="27"/>
  <c r="N8" i="27"/>
  <c r="M8" i="27"/>
  <c r="L8" i="27"/>
  <c r="K8" i="27"/>
  <c r="J8" i="27"/>
  <c r="I8" i="27"/>
  <c r="H8" i="27"/>
  <c r="G8" i="27"/>
  <c r="F8" i="27"/>
  <c r="E6" i="27"/>
  <c r="E2" i="27" s="1"/>
  <c r="D2" i="27"/>
  <c r="S7" i="25"/>
  <c r="R7" i="25"/>
  <c r="Q7" i="25"/>
  <c r="P7" i="25"/>
  <c r="O7" i="25"/>
  <c r="N7" i="25"/>
  <c r="M7" i="25"/>
  <c r="L7" i="25"/>
  <c r="K7" i="25"/>
  <c r="J7" i="25"/>
  <c r="I7" i="25"/>
  <c r="H7" i="25"/>
  <c r="G7" i="25"/>
  <c r="F7" i="25"/>
  <c r="E7" i="25"/>
  <c r="D7" i="25"/>
  <c r="C7" i="25"/>
  <c r="E16" i="21"/>
  <c r="G16" i="21" s="1"/>
  <c r="E15" i="21"/>
  <c r="G15" i="21" s="1"/>
  <c r="G17" i="21" s="1"/>
  <c r="D4" i="21" s="1"/>
  <c r="E4" i="21" s="1"/>
  <c r="F4" i="21" s="1"/>
  <c r="G4" i="21" s="1"/>
  <c r="H4" i="21" s="1"/>
  <c r="I4" i="21" s="1"/>
  <c r="J4" i="21" s="1"/>
  <c r="K4" i="21" s="1"/>
  <c r="L4" i="21" s="1"/>
  <c r="M4" i="21" s="1"/>
  <c r="N4" i="21" s="1"/>
  <c r="O4" i="21" s="1"/>
  <c r="P4" i="21" s="1"/>
  <c r="Q4" i="21" s="1"/>
  <c r="R4" i="21" s="1"/>
  <c r="S4" i="21" s="1"/>
  <c r="F12" i="21"/>
  <c r="F11" i="21"/>
  <c r="C5" i="21"/>
  <c r="F20" i="21" s="1"/>
  <c r="G20" i="21" s="1"/>
  <c r="D5" i="21" s="1"/>
  <c r="E5" i="21" s="1"/>
  <c r="F5" i="21" s="1"/>
  <c r="G5" i="21" s="1"/>
  <c r="H5" i="21" s="1"/>
  <c r="I5" i="21" s="1"/>
  <c r="J5" i="21" s="1"/>
  <c r="K5" i="21" s="1"/>
  <c r="L5" i="21" s="1"/>
  <c r="M5" i="21" s="1"/>
  <c r="N5" i="21" s="1"/>
  <c r="O5" i="21" s="1"/>
  <c r="P5" i="21" s="1"/>
  <c r="Q5" i="21" s="1"/>
  <c r="R5" i="21" s="1"/>
  <c r="S5" i="21" s="1"/>
  <c r="C4" i="21"/>
  <c r="E8" i="20"/>
  <c r="F8" i="20" s="1"/>
  <c r="G8" i="20" s="1"/>
  <c r="H8" i="20" s="1"/>
  <c r="I8" i="20" s="1"/>
  <c r="J8" i="20" s="1"/>
  <c r="K8" i="20" s="1"/>
  <c r="L8" i="20" s="1"/>
  <c r="M8" i="20" s="1"/>
  <c r="N8" i="20" s="1"/>
  <c r="O8" i="20" s="1"/>
  <c r="P8" i="20" s="1"/>
  <c r="Q8" i="20" s="1"/>
  <c r="R8" i="20" s="1"/>
  <c r="S8" i="20" s="1"/>
  <c r="T8" i="20" s="1"/>
  <c r="E7" i="20"/>
  <c r="F7" i="20" s="1"/>
  <c r="G7" i="20" s="1"/>
  <c r="H7" i="20" s="1"/>
  <c r="I7" i="20" s="1"/>
  <c r="E6" i="20"/>
  <c r="D6" i="20"/>
  <c r="D21" i="19"/>
  <c r="E21" i="19" s="1"/>
  <c r="F21" i="19" s="1"/>
  <c r="G21" i="19" s="1"/>
  <c r="H21" i="19" s="1"/>
  <c r="I21" i="19" s="1"/>
  <c r="J21" i="19" s="1"/>
  <c r="K21" i="19" s="1"/>
  <c r="L21" i="19" s="1"/>
  <c r="M21" i="19" s="1"/>
  <c r="N21" i="19" s="1"/>
  <c r="O21" i="19" s="1"/>
  <c r="P21" i="19" s="1"/>
  <c r="Q21" i="19" s="1"/>
  <c r="R21" i="19" s="1"/>
  <c r="D20" i="19"/>
  <c r="E20" i="19" s="1"/>
  <c r="F20" i="19" s="1"/>
  <c r="G20" i="19" s="1"/>
  <c r="H20" i="19" s="1"/>
  <c r="I20" i="19" s="1"/>
  <c r="J20" i="19" s="1"/>
  <c r="K20" i="19" s="1"/>
  <c r="L20" i="19" s="1"/>
  <c r="M20" i="19" s="1"/>
  <c r="N20" i="19" s="1"/>
  <c r="O20" i="19" s="1"/>
  <c r="P20" i="19" s="1"/>
  <c r="Q20" i="19" s="1"/>
  <c r="R20" i="19" s="1"/>
  <c r="D19" i="19"/>
  <c r="E19" i="19" s="1"/>
  <c r="F19" i="19" s="1"/>
  <c r="G19" i="19" s="1"/>
  <c r="H19" i="19" s="1"/>
  <c r="I19" i="19" s="1"/>
  <c r="J19" i="19" s="1"/>
  <c r="K19" i="19" s="1"/>
  <c r="L19" i="19" s="1"/>
  <c r="M19" i="19" s="1"/>
  <c r="N19" i="19" s="1"/>
  <c r="O19" i="19" s="1"/>
  <c r="P19" i="19" s="1"/>
  <c r="Q19" i="19" s="1"/>
  <c r="R19" i="19" s="1"/>
  <c r="D18" i="19"/>
  <c r="E18" i="19" s="1"/>
  <c r="F18" i="19" s="1"/>
  <c r="G18" i="19" s="1"/>
  <c r="H18" i="19" s="1"/>
  <c r="I18" i="19" s="1"/>
  <c r="J18" i="19" s="1"/>
  <c r="K18" i="19" s="1"/>
  <c r="L18" i="19" s="1"/>
  <c r="M18" i="19" s="1"/>
  <c r="N18" i="19" s="1"/>
  <c r="O18" i="19" s="1"/>
  <c r="P18" i="19" s="1"/>
  <c r="Q18" i="19" s="1"/>
  <c r="R18" i="19" s="1"/>
  <c r="D17" i="19"/>
  <c r="E17" i="19" s="1"/>
  <c r="F17" i="19" s="1"/>
  <c r="G17" i="19" s="1"/>
  <c r="H17" i="19" s="1"/>
  <c r="I17" i="19" s="1"/>
  <c r="J17" i="19" s="1"/>
  <c r="K17" i="19" s="1"/>
  <c r="L17" i="19" s="1"/>
  <c r="M17" i="19" s="1"/>
  <c r="N17" i="19" s="1"/>
  <c r="O17" i="19" s="1"/>
  <c r="P17" i="19" s="1"/>
  <c r="Q17" i="19" s="1"/>
  <c r="R17" i="19" s="1"/>
  <c r="D16" i="19"/>
  <c r="E16" i="19" s="1"/>
  <c r="F16" i="19" s="1"/>
  <c r="G16" i="19" s="1"/>
  <c r="H16" i="19" s="1"/>
  <c r="I16" i="19" s="1"/>
  <c r="J16" i="19" s="1"/>
  <c r="K16" i="19" s="1"/>
  <c r="L16" i="19" s="1"/>
  <c r="M16" i="19" s="1"/>
  <c r="N16" i="19" s="1"/>
  <c r="O16" i="19" s="1"/>
  <c r="P16" i="19" s="1"/>
  <c r="Q16" i="19" s="1"/>
  <c r="R16" i="19" s="1"/>
  <c r="D15" i="19"/>
  <c r="E15" i="19" s="1"/>
  <c r="F15" i="19" s="1"/>
  <c r="G15" i="19" s="1"/>
  <c r="H15" i="19" s="1"/>
  <c r="I15" i="19" s="1"/>
  <c r="J15" i="19" s="1"/>
  <c r="K15" i="19" s="1"/>
  <c r="L15" i="19" s="1"/>
  <c r="M15" i="19" s="1"/>
  <c r="N15" i="19" s="1"/>
  <c r="O15" i="19" s="1"/>
  <c r="P15" i="19" s="1"/>
  <c r="Q15" i="19" s="1"/>
  <c r="R15" i="19" s="1"/>
  <c r="D14" i="19"/>
  <c r="E14" i="19" s="1"/>
  <c r="F14" i="19" s="1"/>
  <c r="G14" i="19" s="1"/>
  <c r="H14" i="19" s="1"/>
  <c r="I14" i="19" s="1"/>
  <c r="J14" i="19" s="1"/>
  <c r="K14" i="19" s="1"/>
  <c r="L14" i="19" s="1"/>
  <c r="M14" i="19" s="1"/>
  <c r="N14" i="19" s="1"/>
  <c r="O14" i="19" s="1"/>
  <c r="P14" i="19" s="1"/>
  <c r="Q14" i="19" s="1"/>
  <c r="R14" i="19" s="1"/>
  <c r="D13" i="19"/>
  <c r="E13" i="19" s="1"/>
  <c r="F13" i="19" s="1"/>
  <c r="G13" i="19" s="1"/>
  <c r="H13" i="19" s="1"/>
  <c r="I13" i="19" s="1"/>
  <c r="J13" i="19" s="1"/>
  <c r="K13" i="19" s="1"/>
  <c r="L13" i="19" s="1"/>
  <c r="M13" i="19" s="1"/>
  <c r="N13" i="19" s="1"/>
  <c r="O13" i="19" s="1"/>
  <c r="P13" i="19" s="1"/>
  <c r="Q13" i="19" s="1"/>
  <c r="R13" i="19" s="1"/>
  <c r="D12" i="19"/>
  <c r="E12" i="19" s="1"/>
  <c r="F12" i="19" s="1"/>
  <c r="G12" i="19" s="1"/>
  <c r="H12" i="19" s="1"/>
  <c r="I12" i="19" s="1"/>
  <c r="J12" i="19" s="1"/>
  <c r="K12" i="19" s="1"/>
  <c r="L12" i="19" s="1"/>
  <c r="M12" i="19" s="1"/>
  <c r="N12" i="19" s="1"/>
  <c r="O12" i="19" s="1"/>
  <c r="P12" i="19" s="1"/>
  <c r="Q12" i="19" s="1"/>
  <c r="R12" i="19" s="1"/>
  <c r="D11" i="19"/>
  <c r="E11" i="19" s="1"/>
  <c r="F11" i="19" s="1"/>
  <c r="G11" i="19" s="1"/>
  <c r="H11" i="19" s="1"/>
  <c r="I11" i="19" s="1"/>
  <c r="J11" i="19" s="1"/>
  <c r="Q2" i="19"/>
  <c r="P2" i="19"/>
  <c r="O2" i="19"/>
  <c r="N2" i="19"/>
  <c r="M2" i="19"/>
  <c r="L2" i="19"/>
  <c r="K2" i="19"/>
  <c r="J2" i="19"/>
  <c r="I2" i="19"/>
  <c r="H2" i="19"/>
  <c r="G2" i="19"/>
  <c r="F2" i="19"/>
  <c r="E2" i="19"/>
  <c r="D2" i="19"/>
  <c r="C2" i="19"/>
  <c r="N73" i="18"/>
  <c r="N72" i="18"/>
  <c r="N71" i="18"/>
  <c r="N70" i="18"/>
  <c r="N69" i="18"/>
  <c r="N68" i="18"/>
  <c r="N67" i="18"/>
  <c r="N66" i="18"/>
  <c r="N65" i="18"/>
  <c r="N64" i="18"/>
  <c r="N63" i="18"/>
  <c r="N62" i="18"/>
  <c r="N61" i="18"/>
  <c r="N60" i="18"/>
  <c r="N59" i="18"/>
  <c r="N58" i="18"/>
  <c r="N57" i="18"/>
  <c r="N56" i="18"/>
  <c r="N55" i="18"/>
  <c r="N54" i="18"/>
  <c r="N53" i="18"/>
  <c r="N52" i="18"/>
  <c r="N51" i="18"/>
  <c r="N50" i="18"/>
  <c r="N49" i="18"/>
  <c r="N48" i="18"/>
  <c r="N47" i="18"/>
  <c r="N46" i="18"/>
  <c r="N38" i="18"/>
  <c r="N37" i="18"/>
  <c r="N36" i="18"/>
  <c r="N35" i="18"/>
  <c r="N34" i="18"/>
  <c r="N33" i="18"/>
  <c r="N32" i="18"/>
  <c r="N31" i="18"/>
  <c r="N30" i="18"/>
  <c r="N29" i="18"/>
  <c r="N28" i="18"/>
  <c r="N27" i="18"/>
  <c r="N26" i="18"/>
  <c r="N25" i="18"/>
  <c r="N24" i="18"/>
  <c r="N23" i="18"/>
  <c r="N22" i="18"/>
  <c r="N21" i="18"/>
  <c r="N20" i="18"/>
  <c r="N19" i="18"/>
  <c r="N18" i="18"/>
  <c r="N17" i="18"/>
  <c r="N16" i="18"/>
  <c r="N15" i="18"/>
  <c r="N14" i="18"/>
  <c r="N13" i="18"/>
  <c r="N12" i="18"/>
  <c r="N11" i="18"/>
  <c r="N10" i="18"/>
  <c r="N9" i="18"/>
  <c r="N8" i="18"/>
  <c r="N7" i="18"/>
  <c r="A7" i="18"/>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N6" i="18"/>
  <c r="E25" i="17"/>
  <c r="D25" i="17"/>
  <c r="E24" i="17"/>
  <c r="D24" i="17"/>
  <c r="E23" i="17"/>
  <c r="C16" i="17" s="1"/>
  <c r="C10" i="17" s="1"/>
  <c r="D10" i="17" s="1"/>
  <c r="E10" i="17" s="1"/>
  <c r="F10" i="17" s="1"/>
  <c r="G10" i="17" s="1"/>
  <c r="H10" i="17" s="1"/>
  <c r="I10" i="17" s="1"/>
  <c r="J10" i="17" s="1"/>
  <c r="K10" i="17" s="1"/>
  <c r="L10" i="17" s="1"/>
  <c r="M10" i="17" s="1"/>
  <c r="N10" i="17" s="1"/>
  <c r="O10" i="17" s="1"/>
  <c r="P10" i="17" s="1"/>
  <c r="Q10" i="17" s="1"/>
  <c r="D23" i="17"/>
  <c r="E22" i="17"/>
  <c r="D22" i="17"/>
  <c r="C15" i="17" s="1"/>
  <c r="C9" i="17" s="1"/>
  <c r="D9" i="17" s="1"/>
  <c r="E9" i="17" s="1"/>
  <c r="F9" i="17" s="1"/>
  <c r="G9" i="17" s="1"/>
  <c r="H9" i="17" s="1"/>
  <c r="I9" i="17" s="1"/>
  <c r="J9" i="17" s="1"/>
  <c r="K9" i="17" s="1"/>
  <c r="L9" i="17" s="1"/>
  <c r="M9" i="17" s="1"/>
  <c r="N9" i="17" s="1"/>
  <c r="O9" i="17" s="1"/>
  <c r="P9" i="17" s="1"/>
  <c r="Q9" i="17" s="1"/>
  <c r="E21" i="17"/>
  <c r="C14" i="17" s="1"/>
  <c r="C8" i="17" s="1"/>
  <c r="D8" i="17" s="1"/>
  <c r="D21" i="17"/>
  <c r="B18" i="17"/>
  <c r="B25" i="17" s="1"/>
  <c r="B17" i="17"/>
  <c r="B24" i="17" s="1"/>
  <c r="B16" i="17"/>
  <c r="B23" i="17" s="1"/>
  <c r="B15" i="17"/>
  <c r="B22" i="17" s="1"/>
  <c r="B14" i="17"/>
  <c r="B21" i="17" s="1"/>
  <c r="Q7" i="17"/>
  <c r="P7" i="17"/>
  <c r="O7" i="17"/>
  <c r="N7" i="17"/>
  <c r="M7" i="17"/>
  <c r="L7" i="17"/>
  <c r="K7" i="17"/>
  <c r="J7" i="17"/>
  <c r="I7" i="17"/>
  <c r="H7" i="17"/>
  <c r="G7" i="17"/>
  <c r="F7" i="17"/>
  <c r="E7" i="17"/>
  <c r="D7" i="17"/>
  <c r="C7" i="17"/>
  <c r="B3" i="17"/>
  <c r="B7" i="16"/>
  <c r="C7" i="16" s="1"/>
  <c r="C2" i="16" s="1"/>
  <c r="A5" i="16"/>
  <c r="B5" i="16" s="1"/>
  <c r="A2" i="16"/>
  <c r="P1" i="16"/>
  <c r="O1" i="16"/>
  <c r="N1" i="16"/>
  <c r="M1" i="16"/>
  <c r="L1" i="16"/>
  <c r="K1" i="16"/>
  <c r="J1" i="16"/>
  <c r="I1" i="16"/>
  <c r="H1" i="16"/>
  <c r="G1" i="16"/>
  <c r="F1" i="16"/>
  <c r="E1" i="16"/>
  <c r="D1" i="16"/>
  <c r="C1" i="16"/>
  <c r="B1" i="16"/>
  <c r="C15" i="10"/>
  <c r="C20" i="10" s="1"/>
  <c r="C35" i="10" s="1"/>
  <c r="B16" i="14"/>
  <c r="B15" i="14"/>
  <c r="B14" i="14"/>
  <c r="C7" i="14"/>
  <c r="D7" i="14" s="1"/>
  <c r="D16" i="14" s="1"/>
  <c r="A2" i="14"/>
  <c r="B2" i="14" s="1"/>
  <c r="P1" i="14"/>
  <c r="O1" i="14"/>
  <c r="N1" i="14"/>
  <c r="M1" i="14"/>
  <c r="L1" i="14"/>
  <c r="K1" i="14"/>
  <c r="J1" i="14"/>
  <c r="I1" i="14"/>
  <c r="H1" i="14"/>
  <c r="G1" i="14"/>
  <c r="F1" i="14"/>
  <c r="E1" i="14"/>
  <c r="D1" i="14"/>
  <c r="C1" i="14"/>
  <c r="B1" i="14"/>
  <c r="B58" i="9"/>
  <c r="H57" i="9"/>
  <c r="F57" i="9"/>
  <c r="D57" i="9"/>
  <c r="H56" i="9"/>
  <c r="F56" i="9"/>
  <c r="D56" i="9"/>
  <c r="H55" i="9"/>
  <c r="F55" i="9"/>
  <c r="D55" i="9"/>
  <c r="H54" i="9"/>
  <c r="F54" i="9"/>
  <c r="D54" i="9"/>
  <c r="H53" i="9"/>
  <c r="F53" i="9"/>
  <c r="D53" i="9"/>
  <c r="C47" i="9"/>
  <c r="C42" i="9"/>
  <c r="C44" i="9" s="1"/>
  <c r="C41" i="9"/>
  <c r="C43" i="9" s="1"/>
  <c r="C9" i="9"/>
  <c r="Q2" i="9"/>
  <c r="P2" i="9"/>
  <c r="O2" i="9"/>
  <c r="N2" i="9"/>
  <c r="M2" i="9"/>
  <c r="L2" i="9"/>
  <c r="K2" i="9"/>
  <c r="J2" i="9"/>
  <c r="I2" i="9"/>
  <c r="H2" i="9"/>
  <c r="G2" i="9"/>
  <c r="F2" i="9"/>
  <c r="E2" i="9"/>
  <c r="D2" i="9"/>
  <c r="C2" i="9"/>
  <c r="B2" i="9"/>
  <c r="D33" i="7"/>
  <c r="L27" i="7"/>
  <c r="C27" i="7" s="1"/>
  <c r="D27" i="7" s="1"/>
  <c r="E27" i="7" s="1"/>
  <c r="F27" i="7" s="1"/>
  <c r="G27" i="7" s="1"/>
  <c r="H27" i="7" s="1"/>
  <c r="I27" i="7" s="1"/>
  <c r="J27" i="7" s="1"/>
  <c r="K27" i="7" s="1"/>
  <c r="L23" i="7"/>
  <c r="V22" i="7"/>
  <c r="M22" i="7" s="1"/>
  <c r="N22" i="7" s="1"/>
  <c r="O22" i="7" s="1"/>
  <c r="P22" i="7" s="1"/>
  <c r="Q22" i="7" s="1"/>
  <c r="R22" i="7" s="1"/>
  <c r="S22" i="7" s="1"/>
  <c r="T22" i="7" s="1"/>
  <c r="U22" i="7" s="1"/>
  <c r="C22" i="7"/>
  <c r="D22" i="7" s="1"/>
  <c r="E22" i="7" s="1"/>
  <c r="F22" i="7" s="1"/>
  <c r="G22" i="7" s="1"/>
  <c r="H22" i="7" s="1"/>
  <c r="I22" i="7" s="1"/>
  <c r="J22" i="7" s="1"/>
  <c r="K22" i="7" s="1"/>
  <c r="L17" i="7"/>
  <c r="C17" i="7" s="1"/>
  <c r="D17" i="7" s="1"/>
  <c r="E17" i="7" s="1"/>
  <c r="F17" i="7" s="1"/>
  <c r="G17" i="7" s="1"/>
  <c r="H17" i="7" s="1"/>
  <c r="I17" i="7" s="1"/>
  <c r="J17" i="7" s="1"/>
  <c r="K17" i="7" s="1"/>
  <c r="Q1" i="7"/>
  <c r="P1" i="7"/>
  <c r="O1" i="7"/>
  <c r="N1" i="7"/>
  <c r="M1" i="7"/>
  <c r="L1" i="7"/>
  <c r="K1" i="7"/>
  <c r="J1" i="7"/>
  <c r="I1" i="7"/>
  <c r="H1" i="7"/>
  <c r="G1" i="7"/>
  <c r="F1" i="7"/>
  <c r="E1" i="7"/>
  <c r="D1" i="7"/>
  <c r="C1" i="7"/>
  <c r="B1" i="7"/>
  <c r="B32" i="6"/>
  <c r="E26" i="6"/>
  <c r="E21" i="6"/>
  <c r="D21" i="6"/>
  <c r="E25" i="6"/>
  <c r="E23" i="6"/>
  <c r="C21" i="6"/>
  <c r="G20" i="6"/>
  <c r="G18" i="6"/>
  <c r="G17" i="6"/>
  <c r="G16" i="6"/>
  <c r="G15" i="6"/>
  <c r="G14" i="6"/>
  <c r="G13" i="6"/>
  <c r="G12" i="6"/>
  <c r="G11" i="6"/>
  <c r="G10" i="6"/>
  <c r="L4" i="6"/>
  <c r="M4" i="6" s="1"/>
  <c r="N4" i="6" s="1"/>
  <c r="O4" i="6" s="1"/>
  <c r="P4" i="6" s="1"/>
  <c r="Q4" i="6" s="1"/>
  <c r="R4" i="6" s="1"/>
  <c r="S4" i="6" s="1"/>
  <c r="T4" i="6" s="1"/>
  <c r="U4" i="6" s="1"/>
  <c r="V4" i="6" s="1"/>
  <c r="W4" i="6" s="1"/>
  <c r="X4" i="6" s="1"/>
  <c r="P211" i="5"/>
  <c r="Q211" i="5" s="1"/>
  <c r="R211" i="5" s="1"/>
  <c r="S211" i="5" s="1"/>
  <c r="T211" i="5" s="1"/>
  <c r="B191" i="5"/>
  <c r="H192" i="5" s="1"/>
  <c r="E189" i="5"/>
  <c r="D189" i="5"/>
  <c r="B189" i="5"/>
  <c r="F189" i="5" s="1"/>
  <c r="E188" i="5"/>
  <c r="D188" i="5"/>
  <c r="D196" i="5" s="1"/>
  <c r="D197" i="5" s="1"/>
  <c r="B188" i="5"/>
  <c r="G173" i="5" s="1"/>
  <c r="P185" i="5"/>
  <c r="Q185" i="5" s="1"/>
  <c r="R185" i="5" s="1"/>
  <c r="S185" i="5" s="1"/>
  <c r="T185" i="5" s="1"/>
  <c r="F181" i="5"/>
  <c r="G181" i="5" s="1"/>
  <c r="H181" i="5" s="1"/>
  <c r="I181" i="5" s="1"/>
  <c r="J181" i="5" s="1"/>
  <c r="K181" i="5" s="1"/>
  <c r="L181" i="5" s="1"/>
  <c r="M181" i="5" s="1"/>
  <c r="N181" i="5" s="1"/>
  <c r="O181" i="5" s="1"/>
  <c r="P181" i="5" s="1"/>
  <c r="Q181" i="5" s="1"/>
  <c r="R181" i="5" s="1"/>
  <c r="S181" i="5" s="1"/>
  <c r="T181" i="5" s="1"/>
  <c r="B158" i="5"/>
  <c r="J158" i="5" s="1"/>
  <c r="B154" i="5"/>
  <c r="F154" i="5" s="1"/>
  <c r="B150" i="5"/>
  <c r="F150" i="5" s="1"/>
  <c r="C4" i="20"/>
  <c r="D4" i="20" s="1"/>
  <c r="B146" i="5"/>
  <c r="B140" i="5"/>
  <c r="B12" i="7" s="1"/>
  <c r="C12" i="7" s="1"/>
  <c r="B139" i="5"/>
  <c r="B136" i="5"/>
  <c r="B3" i="25" s="1"/>
  <c r="B135" i="5"/>
  <c r="B2" i="25" s="1"/>
  <c r="B134" i="5"/>
  <c r="B130" i="5"/>
  <c r="Q130" i="5" s="1"/>
  <c r="B127" i="5"/>
  <c r="O127" i="5" s="1"/>
  <c r="B126" i="5"/>
  <c r="C3" i="21" s="1"/>
  <c r="B125" i="5"/>
  <c r="B113" i="5"/>
  <c r="B110" i="5"/>
  <c r="B3" i="19" s="1"/>
  <c r="B109" i="5"/>
  <c r="B104" i="5"/>
  <c r="B3" i="27" s="1"/>
  <c r="B103" i="5"/>
  <c r="B100" i="5"/>
  <c r="B2" i="26" s="1"/>
  <c r="M2" i="26" s="1"/>
  <c r="B99" i="5"/>
  <c r="B95" i="5"/>
  <c r="O95" i="5" s="1"/>
  <c r="B91" i="5"/>
  <c r="I91" i="5" s="1"/>
  <c r="D87" i="5"/>
  <c r="D86" i="5"/>
  <c r="D88" i="5" s="1"/>
  <c r="D83" i="5"/>
  <c r="B80" i="5"/>
  <c r="E80" i="5" s="1"/>
  <c r="B79" i="5"/>
  <c r="E79" i="5" s="1"/>
  <c r="B74" i="5"/>
  <c r="I75" i="5" s="1"/>
  <c r="J75" i="5" s="1"/>
  <c r="K75" i="5" s="1"/>
  <c r="L75" i="5" s="1"/>
  <c r="M75" i="5" s="1"/>
  <c r="N75" i="5" s="1"/>
  <c r="O75" i="5" s="1"/>
  <c r="P75" i="5" s="1"/>
  <c r="Q75" i="5" s="1"/>
  <c r="R75" i="5" s="1"/>
  <c r="S75" i="5" s="1"/>
  <c r="T75" i="5" s="1"/>
  <c r="B72" i="5"/>
  <c r="J70" i="5"/>
  <c r="K70" i="5" s="1"/>
  <c r="L70" i="5" s="1"/>
  <c r="M70" i="5" s="1"/>
  <c r="N70" i="5" s="1"/>
  <c r="O70" i="5" s="1"/>
  <c r="P70" i="5" s="1"/>
  <c r="Q70" i="5" s="1"/>
  <c r="R70" i="5" s="1"/>
  <c r="S70" i="5" s="1"/>
  <c r="T70" i="5" s="1"/>
  <c r="B63" i="5"/>
  <c r="G63" i="5" s="1"/>
  <c r="B62" i="5"/>
  <c r="H62" i="5" s="1"/>
  <c r="B60" i="5"/>
  <c r="O60" i="5" s="1"/>
  <c r="J56" i="5"/>
  <c r="K56" i="5" s="1"/>
  <c r="L56" i="5" s="1"/>
  <c r="M56" i="5" s="1"/>
  <c r="N56" i="5" s="1"/>
  <c r="O56" i="5" s="1"/>
  <c r="P56" i="5" s="1"/>
  <c r="Q56" i="5" s="1"/>
  <c r="R56" i="5" s="1"/>
  <c r="S56" i="5" s="1"/>
  <c r="T56" i="5" s="1"/>
  <c r="B56" i="5"/>
  <c r="E55" i="5"/>
  <c r="B55" i="5"/>
  <c r="I55" i="5" s="1"/>
  <c r="I57" i="5" s="1"/>
  <c r="B48" i="5"/>
  <c r="N48" i="5" s="1"/>
  <c r="B40" i="5"/>
  <c r="G40" i="5" s="1"/>
  <c r="G43" i="5" s="1"/>
  <c r="B38" i="5"/>
  <c r="B37" i="5"/>
  <c r="B36" i="5"/>
  <c r="B33" i="5"/>
  <c r="B29" i="5"/>
  <c r="B26" i="5"/>
  <c r="B24" i="5"/>
  <c r="B13" i="5"/>
  <c r="F13" i="5" s="1"/>
  <c r="C160" i="22"/>
  <c r="D158" i="22" s="1"/>
  <c r="D157" i="22"/>
  <c r="C158" i="22"/>
  <c r="D156" i="22" s="1"/>
  <c r="C15" i="14"/>
  <c r="J173" i="5"/>
  <c r="N84" i="5"/>
  <c r="J84" i="5"/>
  <c r="C45" i="9"/>
  <c r="B11" i="9" s="1"/>
  <c r="C11" i="9" s="1"/>
  <c r="D11" i="9" s="1"/>
  <c r="E11" i="9" s="1"/>
  <c r="F11" i="9" s="1"/>
  <c r="G11" i="9" s="1"/>
  <c r="H11" i="9" s="1"/>
  <c r="I11" i="9" s="1"/>
  <c r="J11" i="9" s="1"/>
  <c r="K11" i="9" s="1"/>
  <c r="L11" i="9" s="1"/>
  <c r="M11" i="9" s="1"/>
  <c r="N11" i="9" s="1"/>
  <c r="O11" i="9" s="1"/>
  <c r="P11" i="9" s="1"/>
  <c r="Q11" i="9" s="1"/>
  <c r="R11" i="9" s="1"/>
  <c r="E10" i="19"/>
  <c r="C16" i="14"/>
  <c r="F192" i="5"/>
  <c r="C14" i="14"/>
  <c r="B2" i="16"/>
  <c r="J7" i="20"/>
  <c r="E13" i="27"/>
  <c r="G13" i="27" s="1"/>
  <c r="E14" i="27"/>
  <c r="G14" i="27" s="1"/>
  <c r="D7" i="16"/>
  <c r="G192" i="5"/>
  <c r="BE13" i="38"/>
  <c r="H95" i="5"/>
  <c r="BE17" i="38"/>
  <c r="K11" i="19"/>
  <c r="L11" i="19" s="1"/>
  <c r="M11" i="19" s="1"/>
  <c r="N11" i="19" s="1"/>
  <c r="T154" i="5"/>
  <c r="AC21" i="38"/>
  <c r="E7" i="14"/>
  <c r="D14" i="14"/>
  <c r="D15" i="14"/>
  <c r="BC18" i="38"/>
  <c r="E15" i="27"/>
  <c r="G15" i="27" s="1"/>
  <c r="E12" i="27"/>
  <c r="G12" i="27" s="1"/>
  <c r="V27" i="7"/>
  <c r="M27" i="7" s="1"/>
  <c r="N27" i="7" s="1"/>
  <c r="O27" i="7" s="1"/>
  <c r="P27" i="7" s="1"/>
  <c r="Q27" i="7" s="1"/>
  <c r="R27" i="7" s="1"/>
  <c r="S27" i="7" s="1"/>
  <c r="T27" i="7" s="1"/>
  <c r="U27" i="7" s="1"/>
  <c r="B21" i="38"/>
  <c r="G13" i="29"/>
  <c r="H13" i="29" s="1"/>
  <c r="I13" i="29" s="1"/>
  <c r="J13" i="29" s="1"/>
  <c r="K13" i="29" s="1"/>
  <c r="L13" i="29" s="1"/>
  <c r="M13" i="29" s="1"/>
  <c r="N13" i="29" s="1"/>
  <c r="O13" i="29" s="1"/>
  <c r="P13" i="29" s="1"/>
  <c r="Q13" i="29" s="1"/>
  <c r="R13" i="29" s="1"/>
  <c r="S13" i="29" s="1"/>
  <c r="T13" i="29" s="1"/>
  <c r="G16" i="29"/>
  <c r="H16" i="29" s="1"/>
  <c r="I16" i="29" s="1"/>
  <c r="J16" i="29" s="1"/>
  <c r="K16" i="29" s="1"/>
  <c r="L16" i="29" s="1"/>
  <c r="M16" i="29" s="1"/>
  <c r="N16" i="29" s="1"/>
  <c r="O16" i="29" s="1"/>
  <c r="P16" i="29" s="1"/>
  <c r="Q16" i="29" s="1"/>
  <c r="R16" i="29" s="1"/>
  <c r="S16" i="29" s="1"/>
  <c r="T16" i="29" s="1"/>
  <c r="D25" i="35"/>
  <c r="G24" i="29"/>
  <c r="H24" i="29" s="1"/>
  <c r="I24" i="29" s="1"/>
  <c r="J24" i="29" s="1"/>
  <c r="K24" i="29" s="1"/>
  <c r="L24" i="29" s="1"/>
  <c r="M24" i="29" s="1"/>
  <c r="N24" i="29" s="1"/>
  <c r="O24" i="29" s="1"/>
  <c r="P24" i="29" s="1"/>
  <c r="Q24" i="29" s="1"/>
  <c r="R24" i="29" s="1"/>
  <c r="S24" i="29" s="1"/>
  <c r="T24" i="29" s="1"/>
  <c r="G15" i="29"/>
  <c r="H15" i="29" s="1"/>
  <c r="I15" i="29" s="1"/>
  <c r="J15" i="29" s="1"/>
  <c r="K15" i="29" s="1"/>
  <c r="L15" i="29" s="1"/>
  <c r="M15" i="29" s="1"/>
  <c r="N15" i="29" s="1"/>
  <c r="O15" i="29" s="1"/>
  <c r="P15" i="29" s="1"/>
  <c r="Q15" i="29" s="1"/>
  <c r="R15" i="29" s="1"/>
  <c r="S15" i="29" s="1"/>
  <c r="T15" i="29" s="1"/>
  <c r="I13" i="39"/>
  <c r="I14" i="39"/>
  <c r="I15" i="39"/>
  <c r="I16" i="39"/>
  <c r="I20" i="39"/>
  <c r="I17" i="39"/>
  <c r="I21" i="39"/>
  <c r="I18" i="39"/>
  <c r="I19" i="39"/>
  <c r="L95" i="5" l="1"/>
  <c r="I95" i="5"/>
  <c r="T95" i="5"/>
  <c r="K60" i="5"/>
  <c r="H127" i="5"/>
  <c r="K127" i="5"/>
  <c r="P127" i="5"/>
  <c r="L130" i="5"/>
  <c r="O130" i="5"/>
  <c r="H130" i="5"/>
  <c r="K130" i="5"/>
  <c r="P2" i="25"/>
  <c r="R154" i="5"/>
  <c r="S154" i="5"/>
  <c r="O188" i="5"/>
  <c r="H189" i="5"/>
  <c r="J189" i="5"/>
  <c r="L189" i="5"/>
  <c r="S189" i="5"/>
  <c r="O174" i="5"/>
  <c r="P174" i="5" s="1"/>
  <c r="Q174" i="5" s="1"/>
  <c r="R174" i="5" s="1"/>
  <c r="S174" i="5" s="1"/>
  <c r="T174" i="5" s="1"/>
  <c r="S188" i="5"/>
  <c r="N173" i="5"/>
  <c r="K188" i="5"/>
  <c r="Q188" i="5"/>
  <c r="G158" i="5"/>
  <c r="Q158" i="5"/>
  <c r="G154" i="5"/>
  <c r="J154" i="5"/>
  <c r="N154" i="5"/>
  <c r="O154" i="5"/>
  <c r="S150" i="5"/>
  <c r="N150" i="5"/>
  <c r="M150" i="5"/>
  <c r="H150" i="5"/>
  <c r="I150" i="5"/>
  <c r="Q134" i="5"/>
  <c r="T123" i="5"/>
  <c r="G79" i="5"/>
  <c r="I62" i="5"/>
  <c r="I60" i="5"/>
  <c r="G60" i="5"/>
  <c r="M60" i="5"/>
  <c r="R95" i="5"/>
  <c r="M95" i="5"/>
  <c r="N91" i="5"/>
  <c r="J91" i="5"/>
  <c r="F33" i="5"/>
  <c r="G80" i="5"/>
  <c r="G81" i="5" s="1"/>
  <c r="E81" i="5"/>
  <c r="E87" i="5" s="1"/>
  <c r="E88" i="5" s="1"/>
  <c r="K2" i="12"/>
  <c r="O33" i="5" s="1"/>
  <c r="T188" i="5"/>
  <c r="I188" i="5"/>
  <c r="G18" i="29"/>
  <c r="H18" i="29" s="1"/>
  <c r="I18" i="29" s="1"/>
  <c r="J18" i="29" s="1"/>
  <c r="K18" i="29" s="1"/>
  <c r="L18" i="29" s="1"/>
  <c r="M18" i="29" s="1"/>
  <c r="N18" i="29" s="1"/>
  <c r="O18" i="29" s="1"/>
  <c r="P18" i="29" s="1"/>
  <c r="Q18" i="29" s="1"/>
  <c r="R18" i="29" s="1"/>
  <c r="S18" i="29" s="1"/>
  <c r="T18" i="29" s="1"/>
  <c r="G7" i="29"/>
  <c r="H7" i="29" s="1"/>
  <c r="I7" i="29" s="1"/>
  <c r="J7" i="29" s="1"/>
  <c r="K7" i="29" s="1"/>
  <c r="L7" i="29" s="1"/>
  <c r="M7" i="29" s="1"/>
  <c r="N7" i="29" s="1"/>
  <c r="O7" i="29" s="1"/>
  <c r="P7" i="29" s="1"/>
  <c r="Q7" i="29" s="1"/>
  <c r="R7" i="29" s="1"/>
  <c r="S7" i="29" s="1"/>
  <c r="T7" i="29" s="1"/>
  <c r="G19" i="29"/>
  <c r="H19" i="29" s="1"/>
  <c r="I19" i="29" s="1"/>
  <c r="J19" i="29" s="1"/>
  <c r="K19" i="29" s="1"/>
  <c r="L19" i="29" s="1"/>
  <c r="M19" i="29" s="1"/>
  <c r="N19" i="29" s="1"/>
  <c r="O19" i="29" s="1"/>
  <c r="P19" i="29" s="1"/>
  <c r="Q19" i="29" s="1"/>
  <c r="R19" i="29" s="1"/>
  <c r="S19" i="29" s="1"/>
  <c r="T19" i="29" s="1"/>
  <c r="BC16" i="38"/>
  <c r="E35" i="29"/>
  <c r="I158" i="5"/>
  <c r="F158" i="5"/>
  <c r="S2" i="25"/>
  <c r="T134" i="5" s="1"/>
  <c r="E196" i="5"/>
  <c r="G30" i="29"/>
  <c r="H30" i="29" s="1"/>
  <c r="I30" i="29" s="1"/>
  <c r="J30" i="29" s="1"/>
  <c r="K30" i="29" s="1"/>
  <c r="L30" i="29" s="1"/>
  <c r="M30" i="29" s="1"/>
  <c r="N30" i="29" s="1"/>
  <c r="O30" i="29" s="1"/>
  <c r="P30" i="29" s="1"/>
  <c r="Q30" i="29" s="1"/>
  <c r="R30" i="29" s="1"/>
  <c r="S30" i="29" s="1"/>
  <c r="T30" i="29" s="1"/>
  <c r="F63" i="5"/>
  <c r="S127" i="5"/>
  <c r="G2" i="26"/>
  <c r="H99" i="5" s="1"/>
  <c r="H79" i="5"/>
  <c r="W21" i="38"/>
  <c r="F6" i="27"/>
  <c r="U21" i="38"/>
  <c r="F193" i="5"/>
  <c r="G193" i="5" s="1"/>
  <c r="H193" i="5" s="1"/>
  <c r="I193" i="5" s="1"/>
  <c r="J193" i="5" s="1"/>
  <c r="K193" i="5" s="1"/>
  <c r="L193" i="5" s="1"/>
  <c r="M193" i="5" s="1"/>
  <c r="N193" i="5" s="1"/>
  <c r="J192" i="5"/>
  <c r="H158" i="5"/>
  <c r="M158" i="5"/>
  <c r="AW23" i="38"/>
  <c r="AW24" i="38" s="1"/>
  <c r="AW25" i="38" s="1"/>
  <c r="B25" i="6"/>
  <c r="D58" i="9"/>
  <c r="H58" i="9"/>
  <c r="C17" i="17"/>
  <c r="C11" i="17" s="1"/>
  <c r="D11" i="17" s="1"/>
  <c r="E11" i="17" s="1"/>
  <c r="F11" i="17" s="1"/>
  <c r="G11" i="17" s="1"/>
  <c r="H11" i="17" s="1"/>
  <c r="I11" i="17" s="1"/>
  <c r="J11" i="17" s="1"/>
  <c r="K11" i="17" s="1"/>
  <c r="L11" i="17" s="1"/>
  <c r="M11" i="17" s="1"/>
  <c r="N11" i="17" s="1"/>
  <c r="O11" i="17" s="1"/>
  <c r="P11" i="17" s="1"/>
  <c r="Q11" i="17" s="1"/>
  <c r="E2" i="34"/>
  <c r="F2" i="34" s="1"/>
  <c r="G2" i="34" s="1"/>
  <c r="H2" i="34" s="1"/>
  <c r="I2" i="34" s="1"/>
  <c r="J2" i="34" s="1"/>
  <c r="K2" i="34" s="1"/>
  <c r="L2" i="34" s="1"/>
  <c r="M2" i="34" s="1"/>
  <c r="N2" i="34" s="1"/>
  <c r="O2" i="34" s="1"/>
  <c r="P2" i="34" s="1"/>
  <c r="Q2" i="34" s="1"/>
  <c r="R2" i="34" s="1"/>
  <c r="N17" i="36"/>
  <c r="O17" i="36" s="1"/>
  <c r="P17" i="36" s="1"/>
  <c r="N14" i="36"/>
  <c r="O14" i="36" s="1"/>
  <c r="P14" i="36" s="1"/>
  <c r="Q14" i="36" s="1"/>
  <c r="N15" i="36"/>
  <c r="O15" i="36" s="1"/>
  <c r="P15" i="36" s="1"/>
  <c r="Q15" i="36" s="1"/>
  <c r="N40" i="5"/>
  <c r="G11" i="29"/>
  <c r="H11" i="29" s="1"/>
  <c r="I11" i="29" s="1"/>
  <c r="J11" i="29" s="1"/>
  <c r="K11" i="29" s="1"/>
  <c r="L11" i="29" s="1"/>
  <c r="M11" i="29" s="1"/>
  <c r="N11" i="29" s="1"/>
  <c r="O11" i="29" s="1"/>
  <c r="P11" i="29" s="1"/>
  <c r="Q11" i="29" s="1"/>
  <c r="R11" i="29" s="1"/>
  <c r="S11" i="29" s="1"/>
  <c r="T11" i="29" s="1"/>
  <c r="G17" i="29"/>
  <c r="H17" i="29" s="1"/>
  <c r="I17" i="29" s="1"/>
  <c r="J17" i="29" s="1"/>
  <c r="K17" i="29" s="1"/>
  <c r="L17" i="29" s="1"/>
  <c r="M17" i="29" s="1"/>
  <c r="N17" i="29" s="1"/>
  <c r="O17" i="29" s="1"/>
  <c r="P17" i="29" s="1"/>
  <c r="Q17" i="29" s="1"/>
  <c r="R17" i="29" s="1"/>
  <c r="S17" i="29" s="1"/>
  <c r="T17" i="29" s="1"/>
  <c r="C161" i="22"/>
  <c r="C162" i="22" s="1"/>
  <c r="C157" i="22"/>
  <c r="G123" i="5"/>
  <c r="Q150" i="5"/>
  <c r="M189" i="5"/>
  <c r="I189" i="5"/>
  <c r="B10" i="7"/>
  <c r="G14" i="29"/>
  <c r="H14" i="29" s="1"/>
  <c r="I14" i="29" s="1"/>
  <c r="J14" i="29" s="1"/>
  <c r="K14" i="29" s="1"/>
  <c r="L14" i="29" s="1"/>
  <c r="M14" i="29" s="1"/>
  <c r="N14" i="29" s="1"/>
  <c r="O14" i="29" s="1"/>
  <c r="P14" i="29" s="1"/>
  <c r="Q14" i="29" s="1"/>
  <c r="R14" i="29" s="1"/>
  <c r="S14" i="29" s="1"/>
  <c r="T14" i="29" s="1"/>
  <c r="BC14" i="38"/>
  <c r="R130" i="5"/>
  <c r="N130" i="5"/>
  <c r="R150" i="5"/>
  <c r="I192" i="5"/>
  <c r="I191" i="5" s="1"/>
  <c r="P130" i="5"/>
  <c r="L127" i="5"/>
  <c r="P207" i="5"/>
  <c r="V17" i="7"/>
  <c r="M17" i="7" s="1"/>
  <c r="N17" i="7" s="1"/>
  <c r="O17" i="7" s="1"/>
  <c r="P17" i="7" s="1"/>
  <c r="Q17" i="7" s="1"/>
  <c r="R17" i="7" s="1"/>
  <c r="S17" i="7" s="1"/>
  <c r="T17" i="7" s="1"/>
  <c r="U17" i="7" s="1"/>
  <c r="O158" i="5"/>
  <c r="T158" i="5"/>
  <c r="B26" i="6"/>
  <c r="C26" i="6" s="1"/>
  <c r="F58" i="9"/>
  <c r="C18" i="17"/>
  <c r="C12" i="17" s="1"/>
  <c r="D12" i="17" s="1"/>
  <c r="E12" i="17" s="1"/>
  <c r="F12" i="17" s="1"/>
  <c r="G12" i="17" s="1"/>
  <c r="H12" i="17" s="1"/>
  <c r="I12" i="17" s="1"/>
  <c r="J12" i="17" s="1"/>
  <c r="K12" i="17" s="1"/>
  <c r="L12" i="17" s="1"/>
  <c r="M12" i="17" s="1"/>
  <c r="N12" i="17" s="1"/>
  <c r="O12" i="17" s="1"/>
  <c r="P12" i="17" s="1"/>
  <c r="Q12" i="17" s="1"/>
  <c r="I40" i="5"/>
  <c r="I43" i="5" s="1"/>
  <c r="N16" i="36"/>
  <c r="O16" i="36" s="1"/>
  <c r="P16" i="36" s="1"/>
  <c r="Q16" i="36" s="1"/>
  <c r="BC13" i="38"/>
  <c r="BE15" i="38"/>
  <c r="E217" i="5"/>
  <c r="N13" i="36"/>
  <c r="O13" i="36" s="1"/>
  <c r="P13" i="36" s="1"/>
  <c r="Q13" i="36" s="1"/>
  <c r="G84" i="5"/>
  <c r="T79" i="5"/>
  <c r="BC17" i="38"/>
  <c r="BE19" i="38"/>
  <c r="L2" i="25"/>
  <c r="M134" i="5" s="1"/>
  <c r="Q2" i="25"/>
  <c r="R134" i="5" s="1"/>
  <c r="C2" i="26"/>
  <c r="G2" i="25"/>
  <c r="H134" i="5" s="1"/>
  <c r="H4" i="20"/>
  <c r="R2" i="26"/>
  <c r="S99" i="5" s="1"/>
  <c r="H2" i="25"/>
  <c r="I134" i="5" s="1"/>
  <c r="G10" i="29"/>
  <c r="H10" i="29" s="1"/>
  <c r="I10" i="29" s="1"/>
  <c r="J10" i="29" s="1"/>
  <c r="K10" i="29" s="1"/>
  <c r="L10" i="29" s="1"/>
  <c r="M10" i="29" s="1"/>
  <c r="N10" i="29" s="1"/>
  <c r="O10" i="29" s="1"/>
  <c r="P10" i="29" s="1"/>
  <c r="Q10" i="29" s="1"/>
  <c r="R10" i="29" s="1"/>
  <c r="S10" i="29" s="1"/>
  <c r="T10" i="29" s="1"/>
  <c r="G8" i="29"/>
  <c r="H8" i="29" s="1"/>
  <c r="I8" i="29" s="1"/>
  <c r="J8" i="29" s="1"/>
  <c r="K8" i="29" s="1"/>
  <c r="L8" i="29" s="1"/>
  <c r="M8" i="29" s="1"/>
  <c r="N8" i="29" s="1"/>
  <c r="O8" i="29" s="1"/>
  <c r="P8" i="29" s="1"/>
  <c r="Q8" i="29" s="1"/>
  <c r="R8" i="29" s="1"/>
  <c r="S8" i="29" s="1"/>
  <c r="T8" i="29" s="1"/>
  <c r="G22" i="29"/>
  <c r="H22" i="29" s="1"/>
  <c r="I22" i="29" s="1"/>
  <c r="J22" i="29" s="1"/>
  <c r="K22" i="29" s="1"/>
  <c r="L22" i="29" s="1"/>
  <c r="M22" i="29" s="1"/>
  <c r="N22" i="29" s="1"/>
  <c r="O22" i="29" s="1"/>
  <c r="P22" i="29" s="1"/>
  <c r="Q22" i="29" s="1"/>
  <c r="R22" i="29" s="1"/>
  <c r="S22" i="29" s="1"/>
  <c r="T22" i="29" s="1"/>
  <c r="G23" i="29"/>
  <c r="H23" i="29" s="1"/>
  <c r="I23" i="29" s="1"/>
  <c r="J23" i="29" s="1"/>
  <c r="K23" i="29" s="1"/>
  <c r="L23" i="29" s="1"/>
  <c r="M23" i="29" s="1"/>
  <c r="N23" i="29" s="1"/>
  <c r="O23" i="29" s="1"/>
  <c r="P23" i="29" s="1"/>
  <c r="Q23" i="29" s="1"/>
  <c r="R23" i="29" s="1"/>
  <c r="S23" i="29" s="1"/>
  <c r="T23" i="29" s="1"/>
  <c r="G12" i="29"/>
  <c r="H12" i="29" s="1"/>
  <c r="I12" i="29" s="1"/>
  <c r="J12" i="29" s="1"/>
  <c r="K12" i="29" s="1"/>
  <c r="L12" i="29" s="1"/>
  <c r="M12" i="29" s="1"/>
  <c r="N12" i="29" s="1"/>
  <c r="O12" i="29" s="1"/>
  <c r="P12" i="29" s="1"/>
  <c r="Q12" i="29" s="1"/>
  <c r="R12" i="29" s="1"/>
  <c r="S12" i="29" s="1"/>
  <c r="T12" i="29" s="1"/>
  <c r="E2" i="26"/>
  <c r="F99" i="5" s="1"/>
  <c r="G21" i="29"/>
  <c r="H21" i="29" s="1"/>
  <c r="I21" i="29" s="1"/>
  <c r="J21" i="29" s="1"/>
  <c r="K21" i="29" s="1"/>
  <c r="L21" i="29" s="1"/>
  <c r="M21" i="29" s="1"/>
  <c r="N21" i="29" s="1"/>
  <c r="O21" i="29" s="1"/>
  <c r="P21" i="29" s="1"/>
  <c r="Q21" i="29" s="1"/>
  <c r="R21" i="29" s="1"/>
  <c r="S21" i="29" s="1"/>
  <c r="T21" i="29" s="1"/>
  <c r="C2" i="25"/>
  <c r="I2" i="25"/>
  <c r="J134" i="5" s="1"/>
  <c r="K2" i="25"/>
  <c r="L134" i="5" s="1"/>
  <c r="J2" i="25"/>
  <c r="K134" i="5" s="1"/>
  <c r="G29" i="29"/>
  <c r="P11" i="41"/>
  <c r="P12" i="41" s="1"/>
  <c r="O116" i="5" s="1"/>
  <c r="O2" i="25"/>
  <c r="P134" i="5" s="1"/>
  <c r="F84" i="5"/>
  <c r="N2" i="26"/>
  <c r="O99" i="5" s="1"/>
  <c r="M2" i="25"/>
  <c r="N134" i="5" s="1"/>
  <c r="K2" i="26"/>
  <c r="G31" i="29"/>
  <c r="H31" i="29" s="1"/>
  <c r="I31" i="29" s="1"/>
  <c r="J31" i="29" s="1"/>
  <c r="K31" i="29" s="1"/>
  <c r="L31" i="29" s="1"/>
  <c r="M31" i="29" s="1"/>
  <c r="N31" i="29" s="1"/>
  <c r="O31" i="29" s="1"/>
  <c r="P31" i="29" s="1"/>
  <c r="Q31" i="29" s="1"/>
  <c r="R31" i="29" s="1"/>
  <c r="S31" i="29" s="1"/>
  <c r="T31" i="29" s="1"/>
  <c r="G32" i="29"/>
  <c r="H32" i="29" s="1"/>
  <c r="I32" i="29" s="1"/>
  <c r="J32" i="29" s="1"/>
  <c r="K32" i="29" s="1"/>
  <c r="L32" i="29" s="1"/>
  <c r="M32" i="29" s="1"/>
  <c r="N32" i="29" s="1"/>
  <c r="O32" i="29" s="1"/>
  <c r="P32" i="29" s="1"/>
  <c r="Q32" i="29" s="1"/>
  <c r="R32" i="29" s="1"/>
  <c r="S32" i="29" s="1"/>
  <c r="T32" i="29" s="1"/>
  <c r="G20" i="29"/>
  <c r="H20" i="29" s="1"/>
  <c r="I20" i="29" s="1"/>
  <c r="J20" i="29" s="1"/>
  <c r="K20" i="29" s="1"/>
  <c r="L20" i="29" s="1"/>
  <c r="M20" i="29" s="1"/>
  <c r="N20" i="29" s="1"/>
  <c r="O20" i="29" s="1"/>
  <c r="P20" i="29" s="1"/>
  <c r="Q20" i="29" s="1"/>
  <c r="R20" i="29" s="1"/>
  <c r="S20" i="29" s="1"/>
  <c r="T20" i="29" s="1"/>
  <c r="G25" i="29"/>
  <c r="H25" i="29" s="1"/>
  <c r="I25" i="29" s="1"/>
  <c r="J25" i="29" s="1"/>
  <c r="K25" i="29" s="1"/>
  <c r="L25" i="29" s="1"/>
  <c r="M25" i="29" s="1"/>
  <c r="N25" i="29" s="1"/>
  <c r="O25" i="29" s="1"/>
  <c r="P25" i="29" s="1"/>
  <c r="Q25" i="29" s="1"/>
  <c r="R25" i="29" s="1"/>
  <c r="S25" i="29" s="1"/>
  <c r="T25" i="29" s="1"/>
  <c r="F2" i="26"/>
  <c r="G99" i="5" s="1"/>
  <c r="E2" i="25"/>
  <c r="F134" i="5" s="1"/>
  <c r="D2" i="25"/>
  <c r="F2" i="25"/>
  <c r="G134" i="5" s="1"/>
  <c r="N2" i="25"/>
  <c r="O134" i="5" s="1"/>
  <c r="R2" i="25"/>
  <c r="S134" i="5" s="1"/>
  <c r="I84" i="5"/>
  <c r="T169" i="5"/>
  <c r="G207" i="5"/>
  <c r="N207" i="5"/>
  <c r="T207" i="5"/>
  <c r="H207" i="5"/>
  <c r="L207" i="5"/>
  <c r="K207" i="5"/>
  <c r="R207" i="5"/>
  <c r="P48" i="5"/>
  <c r="M91" i="5"/>
  <c r="O48" i="5"/>
  <c r="S91" i="5"/>
  <c r="F123" i="5"/>
  <c r="O123" i="5"/>
  <c r="G150" i="5"/>
  <c r="I48" i="5"/>
  <c r="N188" i="5"/>
  <c r="T189" i="5"/>
  <c r="Q2" i="26"/>
  <c r="R99" i="5" s="1"/>
  <c r="B9" i="7"/>
  <c r="B2" i="7" s="1"/>
  <c r="F139" i="5" s="1"/>
  <c r="Q95" i="5"/>
  <c r="BE12" i="38"/>
  <c r="G127" i="5"/>
  <c r="L188" i="5"/>
  <c r="T127" i="5"/>
  <c r="F91" i="5"/>
  <c r="H48" i="5"/>
  <c r="F130" i="5"/>
  <c r="K150" i="5"/>
  <c r="G189" i="5"/>
  <c r="H91" i="5"/>
  <c r="E4" i="20"/>
  <c r="J95" i="5"/>
  <c r="O207" i="5"/>
  <c r="S207" i="5"/>
  <c r="H32" i="38"/>
  <c r="B23" i="6"/>
  <c r="D23" i="6" s="1"/>
  <c r="H20" i="35"/>
  <c r="I20" i="35" s="1"/>
  <c r="I16" i="35" s="1"/>
  <c r="L173" i="5"/>
  <c r="D3" i="21"/>
  <c r="E3" i="21" s="1"/>
  <c r="S48" i="5"/>
  <c r="K123" i="5"/>
  <c r="P91" i="5"/>
  <c r="Q91" i="5"/>
  <c r="L123" i="5"/>
  <c r="G91" i="5"/>
  <c r="D12" i="10"/>
  <c r="D15" i="10" s="1"/>
  <c r="E12" i="10" s="1"/>
  <c r="E15" i="10" s="1"/>
  <c r="B8" i="7"/>
  <c r="R91" i="5"/>
  <c r="P123" i="5"/>
  <c r="I130" i="5"/>
  <c r="L91" i="5"/>
  <c r="M127" i="5"/>
  <c r="K48" i="5"/>
  <c r="O189" i="5"/>
  <c r="O2" i="26"/>
  <c r="P99" i="5" s="1"/>
  <c r="S95" i="5"/>
  <c r="H55" i="5"/>
  <c r="H57" i="5" s="1"/>
  <c r="S130" i="5"/>
  <c r="G95" i="5"/>
  <c r="I63" i="5"/>
  <c r="J63" i="5" s="1"/>
  <c r="K63" i="5" s="1"/>
  <c r="L63" i="5" s="1"/>
  <c r="M63" i="5" s="1"/>
  <c r="N63" i="5" s="1"/>
  <c r="O63" i="5" s="1"/>
  <c r="P63" i="5" s="1"/>
  <c r="Q63" i="5" s="1"/>
  <c r="R63" i="5" s="1"/>
  <c r="S63" i="5" s="1"/>
  <c r="T63" i="5" s="1"/>
  <c r="P150" i="5"/>
  <c r="H188" i="5"/>
  <c r="T91" i="5"/>
  <c r="J2" i="26"/>
  <c r="J188" i="5"/>
  <c r="F207" i="5"/>
  <c r="J207" i="5"/>
  <c r="J79" i="5"/>
  <c r="J123" i="5"/>
  <c r="Q48" i="5"/>
  <c r="N123" i="5"/>
  <c r="L48" i="5"/>
  <c r="J48" i="5"/>
  <c r="S123" i="5"/>
  <c r="I127" i="5"/>
  <c r="F127" i="5"/>
  <c r="R127" i="5"/>
  <c r="I4" i="20"/>
  <c r="G55" i="5"/>
  <c r="G57" i="5" s="1"/>
  <c r="S2" i="26"/>
  <c r="H84" i="5"/>
  <c r="H123" i="5"/>
  <c r="G130" i="5"/>
  <c r="O150" i="5"/>
  <c r="J127" i="5"/>
  <c r="F188" i="5"/>
  <c r="R189" i="5"/>
  <c r="P189" i="5"/>
  <c r="L2" i="26"/>
  <c r="M99" i="5" s="1"/>
  <c r="P95" i="5"/>
  <c r="N127" i="5"/>
  <c r="N95" i="5"/>
  <c r="C3" i="19"/>
  <c r="F109" i="5" s="1"/>
  <c r="F55" i="5"/>
  <c r="F57" i="5" s="1"/>
  <c r="J130" i="5"/>
  <c r="F95" i="5"/>
  <c r="H80" i="5"/>
  <c r="T150" i="5"/>
  <c r="P188" i="5"/>
  <c r="T130" i="5"/>
  <c r="BC20" i="38"/>
  <c r="Q207" i="5"/>
  <c r="E207" i="5"/>
  <c r="D3" i="19"/>
  <c r="G109" i="5" s="1"/>
  <c r="O79" i="5"/>
  <c r="Q123" i="5"/>
  <c r="D2" i="26"/>
  <c r="F48" i="5"/>
  <c r="P79" i="5"/>
  <c r="H173" i="5"/>
  <c r="I123" i="5"/>
  <c r="M130" i="5"/>
  <c r="L150" i="5"/>
  <c r="Q127" i="5"/>
  <c r="R48" i="5"/>
  <c r="G188" i="5"/>
  <c r="K189" i="5"/>
  <c r="Q189" i="5"/>
  <c r="P2" i="26"/>
  <c r="Q99" i="5" s="1"/>
  <c r="F79" i="5"/>
  <c r="O91" i="5"/>
  <c r="M188" i="5"/>
  <c r="R123" i="5"/>
  <c r="N189" i="5"/>
  <c r="K95" i="5"/>
  <c r="F80" i="5"/>
  <c r="J150" i="5"/>
  <c r="R188" i="5"/>
  <c r="K91" i="5"/>
  <c r="H2" i="26"/>
  <c r="I207" i="5"/>
  <c r="T48" i="5"/>
  <c r="M48" i="5"/>
  <c r="G48" i="5"/>
  <c r="G13" i="5"/>
  <c r="H13" i="5" s="1"/>
  <c r="I13" i="5" s="1"/>
  <c r="J13" i="5" s="1"/>
  <c r="K13" i="5" s="1"/>
  <c r="L13" i="5" s="1"/>
  <c r="M13" i="5" s="1"/>
  <c r="N13" i="5" s="1"/>
  <c r="O13" i="5" s="1"/>
  <c r="P13" i="5" s="1"/>
  <c r="Q13" i="5" s="1"/>
  <c r="R13" i="5" s="1"/>
  <c r="S13" i="5" s="1"/>
  <c r="T13" i="5" s="1"/>
  <c r="S173" i="5"/>
  <c r="O173" i="5"/>
  <c r="E173" i="5"/>
  <c r="Q173" i="5"/>
  <c r="T173" i="5"/>
  <c r="R173" i="5"/>
  <c r="P173" i="5"/>
  <c r="F173" i="5"/>
  <c r="M173" i="5"/>
  <c r="K173" i="5"/>
  <c r="I173" i="5"/>
  <c r="K158" i="5"/>
  <c r="D2" i="14"/>
  <c r="C2" i="14"/>
  <c r="P158" i="5"/>
  <c r="N158" i="5"/>
  <c r="L158" i="5"/>
  <c r="R158" i="5"/>
  <c r="S158" i="5"/>
  <c r="L154" i="5"/>
  <c r="K154" i="5"/>
  <c r="Q154" i="5"/>
  <c r="H154" i="5"/>
  <c r="M154" i="5"/>
  <c r="I154" i="5"/>
  <c r="P154" i="5"/>
  <c r="I146" i="5"/>
  <c r="H146" i="5"/>
  <c r="F4" i="20"/>
  <c r="G4" i="20"/>
  <c r="G146" i="5" s="1"/>
  <c r="F146" i="5"/>
  <c r="F3" i="21"/>
  <c r="G3" i="21" s="1"/>
  <c r="H3" i="21" s="1"/>
  <c r="I3" i="21" s="1"/>
  <c r="J3" i="21" s="1"/>
  <c r="K3" i="21" s="1"/>
  <c r="L3" i="21" s="1"/>
  <c r="M3" i="21" s="1"/>
  <c r="F125" i="5"/>
  <c r="I2" i="26"/>
  <c r="L99" i="5"/>
  <c r="N99" i="5"/>
  <c r="T99" i="5"/>
  <c r="J99" i="5"/>
  <c r="K99" i="5"/>
  <c r="I99" i="5"/>
  <c r="R80" i="5"/>
  <c r="K80" i="5"/>
  <c r="S79" i="5"/>
  <c r="N79" i="5"/>
  <c r="I79" i="5"/>
  <c r="M79" i="5"/>
  <c r="Q79" i="5"/>
  <c r="K79" i="5"/>
  <c r="I80" i="5"/>
  <c r="I81" i="5" s="1"/>
  <c r="M80" i="5"/>
  <c r="Q80" i="5"/>
  <c r="J80" i="5"/>
  <c r="O80" i="5"/>
  <c r="T80" i="5"/>
  <c r="P80" i="5"/>
  <c r="N80" i="5"/>
  <c r="L80" i="5"/>
  <c r="S80" i="5"/>
  <c r="L79" i="5"/>
  <c r="R79" i="5"/>
  <c r="P74" i="5"/>
  <c r="H75" i="5"/>
  <c r="F74" i="5"/>
  <c r="H74" i="5"/>
  <c r="J74" i="5"/>
  <c r="K74" i="5"/>
  <c r="N74" i="5"/>
  <c r="M74" i="5"/>
  <c r="Q74" i="5"/>
  <c r="L74" i="5"/>
  <c r="F75" i="5"/>
  <c r="T74" i="5"/>
  <c r="R74" i="5"/>
  <c r="G74" i="5"/>
  <c r="G75" i="5"/>
  <c r="I74" i="5"/>
  <c r="S74" i="5"/>
  <c r="O74" i="5"/>
  <c r="G62" i="5"/>
  <c r="G64" i="5" s="1"/>
  <c r="F62" i="5"/>
  <c r="R60" i="5"/>
  <c r="L60" i="5"/>
  <c r="N60" i="5"/>
  <c r="H60" i="5"/>
  <c r="H63" i="5"/>
  <c r="J60" i="5"/>
  <c r="T60" i="5"/>
  <c r="S60" i="5"/>
  <c r="Q60" i="5"/>
  <c r="P60" i="5"/>
  <c r="M40" i="5"/>
  <c r="M43" i="5" s="1"/>
  <c r="H40" i="5"/>
  <c r="H43" i="5" s="1"/>
  <c r="P40" i="5"/>
  <c r="P43" i="5" s="1"/>
  <c r="L40" i="5"/>
  <c r="S40" i="5"/>
  <c r="S43" i="5" s="1"/>
  <c r="K40" i="5"/>
  <c r="K43" i="5" s="1"/>
  <c r="T40" i="5"/>
  <c r="T43" i="5" s="1"/>
  <c r="O40" i="5"/>
  <c r="O43" i="5" s="1"/>
  <c r="Q40" i="5"/>
  <c r="Q43" i="5" s="1"/>
  <c r="R40" i="5"/>
  <c r="R43" i="5" s="1"/>
  <c r="J40" i="5"/>
  <c r="F40" i="5"/>
  <c r="F43" i="5" s="1"/>
  <c r="H36" i="5"/>
  <c r="I36" i="5"/>
  <c r="K36" i="5"/>
  <c r="Q36" i="5"/>
  <c r="S36" i="5"/>
  <c r="S45" i="5" s="1"/>
  <c r="J36" i="5"/>
  <c r="L36" i="5"/>
  <c r="R36" i="5"/>
  <c r="M36" i="5"/>
  <c r="M72" i="5" s="1"/>
  <c r="N36" i="5"/>
  <c r="O36" i="5"/>
  <c r="P36" i="5"/>
  <c r="T36" i="5"/>
  <c r="F36" i="5"/>
  <c r="G36" i="5"/>
  <c r="G72" i="5" s="1"/>
  <c r="I2" i="12"/>
  <c r="M33" i="5" s="1"/>
  <c r="F2" i="12"/>
  <c r="J33" i="5" s="1"/>
  <c r="L2" i="12"/>
  <c r="P33" i="5" s="1"/>
  <c r="H2" i="12"/>
  <c r="L33" i="5" s="1"/>
  <c r="G2" i="12"/>
  <c r="K33" i="5" s="1"/>
  <c r="C2" i="12"/>
  <c r="G33" i="5" s="1"/>
  <c r="P2" i="12"/>
  <c r="T33" i="5" s="1"/>
  <c r="N2" i="12"/>
  <c r="R33" i="5" s="1"/>
  <c r="M2" i="12"/>
  <c r="Q33" i="5" s="1"/>
  <c r="E2" i="12"/>
  <c r="I33" i="5" s="1"/>
  <c r="O2" i="12"/>
  <c r="S33" i="5" s="1"/>
  <c r="D2" i="12"/>
  <c r="H33" i="5" s="1"/>
  <c r="J2" i="12"/>
  <c r="N33" i="5" s="1"/>
  <c r="B13" i="9"/>
  <c r="C13" i="9" s="1"/>
  <c r="D13" i="9" s="1"/>
  <c r="E13" i="9" s="1"/>
  <c r="F13" i="9" s="1"/>
  <c r="G13" i="9" s="1"/>
  <c r="H13" i="9" s="1"/>
  <c r="I13" i="9" s="1"/>
  <c r="J13" i="9" s="1"/>
  <c r="K13" i="9" s="1"/>
  <c r="L13" i="9" s="1"/>
  <c r="M13" i="9" s="1"/>
  <c r="N13" i="9" s="1"/>
  <c r="O13" i="9" s="1"/>
  <c r="P13" i="9" s="1"/>
  <c r="Q13" i="9" s="1"/>
  <c r="R13" i="9" s="1"/>
  <c r="B17" i="9"/>
  <c r="C17" i="9" s="1"/>
  <c r="D17" i="9" s="1"/>
  <c r="E17" i="9" s="1"/>
  <c r="F17" i="9" s="1"/>
  <c r="G17" i="9" s="1"/>
  <c r="H17" i="9" s="1"/>
  <c r="I17" i="9" s="1"/>
  <c r="J17" i="9" s="1"/>
  <c r="K17" i="9" s="1"/>
  <c r="L17" i="9" s="1"/>
  <c r="M17" i="9" s="1"/>
  <c r="N17" i="9" s="1"/>
  <c r="O17" i="9" s="1"/>
  <c r="P17" i="9" s="1"/>
  <c r="Q17" i="9" s="1"/>
  <c r="R17" i="9" s="1"/>
  <c r="B14" i="9"/>
  <c r="C14" i="9" s="1"/>
  <c r="D14" i="9" s="1"/>
  <c r="E14" i="9" s="1"/>
  <c r="F14" i="9" s="1"/>
  <c r="G14" i="9" s="1"/>
  <c r="H14" i="9" s="1"/>
  <c r="I14" i="9" s="1"/>
  <c r="J14" i="9" s="1"/>
  <c r="K14" i="9" s="1"/>
  <c r="L14" i="9" s="1"/>
  <c r="M14" i="9" s="1"/>
  <c r="N14" i="9" s="1"/>
  <c r="O14" i="9" s="1"/>
  <c r="P14" i="9" s="1"/>
  <c r="Q14" i="9" s="1"/>
  <c r="R14" i="9" s="1"/>
  <c r="B16" i="9"/>
  <c r="C16" i="9" s="1"/>
  <c r="D16" i="9" s="1"/>
  <c r="E16" i="9" s="1"/>
  <c r="F16" i="9" s="1"/>
  <c r="G16" i="9" s="1"/>
  <c r="H16" i="9" s="1"/>
  <c r="I16" i="9" s="1"/>
  <c r="J16" i="9" s="1"/>
  <c r="K16" i="9" s="1"/>
  <c r="L16" i="9" s="1"/>
  <c r="M16" i="9" s="1"/>
  <c r="N16" i="9" s="1"/>
  <c r="O16" i="9" s="1"/>
  <c r="P16" i="9" s="1"/>
  <c r="Q16" i="9" s="1"/>
  <c r="R16" i="9" s="1"/>
  <c r="G125" i="5"/>
  <c r="J55" i="5"/>
  <c r="J57" i="5" s="1"/>
  <c r="D26" i="6"/>
  <c r="B12" i="9"/>
  <c r="C12" i="9" s="1"/>
  <c r="D12" i="9" s="1"/>
  <c r="E12" i="9" s="1"/>
  <c r="F12" i="9" s="1"/>
  <c r="G12" i="9" s="1"/>
  <c r="H12" i="9" s="1"/>
  <c r="I12" i="9" s="1"/>
  <c r="J12" i="9" s="1"/>
  <c r="K12" i="9" s="1"/>
  <c r="L12" i="9" s="1"/>
  <c r="M12" i="9" s="1"/>
  <c r="N12" i="9" s="1"/>
  <c r="O12" i="9" s="1"/>
  <c r="P12" i="9" s="1"/>
  <c r="Q12" i="9" s="1"/>
  <c r="R12" i="9" s="1"/>
  <c r="B20" i="9"/>
  <c r="C20" i="9" s="1"/>
  <c r="D20" i="9" s="1"/>
  <c r="E20" i="9" s="1"/>
  <c r="F20" i="9" s="1"/>
  <c r="G20" i="9" s="1"/>
  <c r="H20" i="9" s="1"/>
  <c r="I20" i="9" s="1"/>
  <c r="J20" i="9" s="1"/>
  <c r="K20" i="9" s="1"/>
  <c r="L20" i="9" s="1"/>
  <c r="M20" i="9" s="1"/>
  <c r="N20" i="9" s="1"/>
  <c r="O20" i="9" s="1"/>
  <c r="P20" i="9" s="1"/>
  <c r="Q20" i="9" s="1"/>
  <c r="R20" i="9" s="1"/>
  <c r="B18" i="9"/>
  <c r="C18" i="9" s="1"/>
  <c r="D18" i="9" s="1"/>
  <c r="E18" i="9" s="1"/>
  <c r="F18" i="9" s="1"/>
  <c r="G18" i="9" s="1"/>
  <c r="H18" i="9" s="1"/>
  <c r="I18" i="9" s="1"/>
  <c r="J18" i="9" s="1"/>
  <c r="K18" i="9" s="1"/>
  <c r="L18" i="9" s="1"/>
  <c r="M18" i="9" s="1"/>
  <c r="N18" i="9" s="1"/>
  <c r="O18" i="9" s="1"/>
  <c r="P18" i="9" s="1"/>
  <c r="Q18" i="9" s="1"/>
  <c r="R18" i="9" s="1"/>
  <c r="B15" i="9"/>
  <c r="C15" i="9" s="1"/>
  <c r="D15" i="9" s="1"/>
  <c r="E15" i="9" s="1"/>
  <c r="F15" i="9" s="1"/>
  <c r="G15" i="9" s="1"/>
  <c r="H15" i="9" s="1"/>
  <c r="I15" i="9" s="1"/>
  <c r="J15" i="9" s="1"/>
  <c r="K15" i="9" s="1"/>
  <c r="L15" i="9" s="1"/>
  <c r="M15" i="9" s="1"/>
  <c r="N15" i="9" s="1"/>
  <c r="O15" i="9" s="1"/>
  <c r="P15" i="9" s="1"/>
  <c r="Q15" i="9" s="1"/>
  <c r="R15" i="9" s="1"/>
  <c r="B3" i="9"/>
  <c r="C3" i="9" s="1"/>
  <c r="D3" i="9" s="1"/>
  <c r="E3" i="9" s="1"/>
  <c r="F3" i="9" s="1"/>
  <c r="G3" i="9" s="1"/>
  <c r="B21" i="9"/>
  <c r="C21" i="9" s="1"/>
  <c r="D21" i="9" s="1"/>
  <c r="E21" i="9" s="1"/>
  <c r="F21" i="9" s="1"/>
  <c r="G21" i="9" s="1"/>
  <c r="H21" i="9" s="1"/>
  <c r="I21" i="9" s="1"/>
  <c r="J21" i="9" s="1"/>
  <c r="K21" i="9" s="1"/>
  <c r="L21" i="9" s="1"/>
  <c r="M21" i="9" s="1"/>
  <c r="N21" i="9" s="1"/>
  <c r="O21" i="9" s="1"/>
  <c r="P21" i="9" s="1"/>
  <c r="Q21" i="9" s="1"/>
  <c r="R21" i="9" s="1"/>
  <c r="B19" i="9"/>
  <c r="C19" i="9" s="1"/>
  <c r="D19" i="9" s="1"/>
  <c r="E19" i="9" s="1"/>
  <c r="F19" i="9" s="1"/>
  <c r="G19" i="9" s="1"/>
  <c r="H19" i="9" s="1"/>
  <c r="I19" i="9" s="1"/>
  <c r="J19" i="9" s="1"/>
  <c r="K19" i="9" s="1"/>
  <c r="L19" i="9" s="1"/>
  <c r="M19" i="9" s="1"/>
  <c r="N19" i="9" s="1"/>
  <c r="O19" i="9" s="1"/>
  <c r="P19" i="9" s="1"/>
  <c r="Q19" i="9" s="1"/>
  <c r="R19" i="9" s="1"/>
  <c r="F10" i="19"/>
  <c r="D199" i="5"/>
  <c r="H106" i="38"/>
  <c r="Q17" i="36"/>
  <c r="G169" i="5"/>
  <c r="K169" i="5"/>
  <c r="O169" i="5"/>
  <c r="J169" i="5"/>
  <c r="R169" i="5"/>
  <c r="Q169" i="5"/>
  <c r="I169" i="5"/>
  <c r="M169" i="5"/>
  <c r="L169" i="5"/>
  <c r="S169" i="5"/>
  <c r="H169" i="5"/>
  <c r="N169" i="5"/>
  <c r="P169" i="5"/>
  <c r="J191" i="5"/>
  <c r="G191" i="5"/>
  <c r="M125" i="5"/>
  <c r="H125" i="5"/>
  <c r="J125" i="5"/>
  <c r="L125" i="5"/>
  <c r="K125" i="5"/>
  <c r="I125" i="5"/>
  <c r="F2" i="27"/>
  <c r="G6" i="27"/>
  <c r="D25" i="6"/>
  <c r="C25" i="6"/>
  <c r="E7" i="16"/>
  <c r="D2" i="16"/>
  <c r="G17" i="27"/>
  <c r="G18" i="27" s="1"/>
  <c r="D3" i="27" s="1"/>
  <c r="E3" i="27" s="1"/>
  <c r="F3" i="27" s="1"/>
  <c r="K7" i="20"/>
  <c r="J4" i="20"/>
  <c r="J146" i="5" s="1"/>
  <c r="E199" i="5"/>
  <c r="E197" i="5"/>
  <c r="O11" i="19"/>
  <c r="D20" i="10"/>
  <c r="D35" i="10" s="1"/>
  <c r="E14" i="14"/>
  <c r="F7" i="14"/>
  <c r="E16" i="14"/>
  <c r="E15" i="14"/>
  <c r="E2" i="14"/>
  <c r="I64" i="5"/>
  <c r="J62" i="5"/>
  <c r="Y21" i="38"/>
  <c r="E60" i="39" s="1"/>
  <c r="AO21" i="38"/>
  <c r="C71" i="38"/>
  <c r="B22" i="38"/>
  <c r="C79" i="38"/>
  <c r="C8" i="7"/>
  <c r="C10" i="7"/>
  <c r="C9" i="7"/>
  <c r="C2" i="7" s="1"/>
  <c r="G139" i="5" s="1"/>
  <c r="D12" i="7"/>
  <c r="E8" i="17"/>
  <c r="AZ21" i="38"/>
  <c r="BA21" i="38" s="1"/>
  <c r="D159" i="22"/>
  <c r="C156" i="22"/>
  <c r="D155" i="22"/>
  <c r="J43" i="5"/>
  <c r="N43" i="5"/>
  <c r="F27" i="29"/>
  <c r="H29" i="29"/>
  <c r="I72" i="5" l="1"/>
  <c r="I76" i="5" s="1"/>
  <c r="I196" i="5"/>
  <c r="H72" i="5"/>
  <c r="H76" i="5" s="1"/>
  <c r="E83" i="5"/>
  <c r="H45" i="5"/>
  <c r="N72" i="5"/>
  <c r="N76" i="5" s="1"/>
  <c r="J196" i="5"/>
  <c r="AX24" i="38"/>
  <c r="AC24" i="38" s="1"/>
  <c r="M191" i="5"/>
  <c r="M196" i="5" s="1"/>
  <c r="L191" i="5"/>
  <c r="L196" i="5" s="1"/>
  <c r="C3" i="17"/>
  <c r="R45" i="5"/>
  <c r="Q72" i="5"/>
  <c r="Q76" i="5" s="1"/>
  <c r="H81" i="5"/>
  <c r="D3" i="17"/>
  <c r="Q45" i="5"/>
  <c r="H191" i="5"/>
  <c r="H196" i="5" s="1"/>
  <c r="F191" i="5"/>
  <c r="F196" i="5" s="1"/>
  <c r="K72" i="5"/>
  <c r="K76" i="5" s="1"/>
  <c r="K191" i="5"/>
  <c r="K196" i="5" s="1"/>
  <c r="E4" i="36"/>
  <c r="F4" i="36" s="1"/>
  <c r="AX23" i="38"/>
  <c r="AC23" i="38" s="1"/>
  <c r="P45" i="5"/>
  <c r="L72" i="5"/>
  <c r="L76" i="5" s="1"/>
  <c r="G33" i="29"/>
  <c r="K45" i="5"/>
  <c r="G27" i="29"/>
  <c r="G35" i="29" s="1"/>
  <c r="M45" i="5"/>
  <c r="Q11" i="41"/>
  <c r="Q12" i="41" s="1"/>
  <c r="P116" i="5" s="1"/>
  <c r="S72" i="5"/>
  <c r="S76" i="5" s="1"/>
  <c r="O45" i="5"/>
  <c r="T45" i="5"/>
  <c r="H64" i="5"/>
  <c r="H86" i="5" s="1"/>
  <c r="F81" i="5"/>
  <c r="P72" i="5"/>
  <c r="P76" i="5" s="1"/>
  <c r="T72" i="5"/>
  <c r="T76" i="5" s="1"/>
  <c r="N45" i="5"/>
  <c r="J45" i="5"/>
  <c r="R72" i="5"/>
  <c r="R76" i="5" s="1"/>
  <c r="G66" i="5"/>
  <c r="H16" i="35"/>
  <c r="I45" i="5"/>
  <c r="C23" i="6"/>
  <c r="J20" i="35"/>
  <c r="J16" i="35" s="1"/>
  <c r="G196" i="5"/>
  <c r="G76" i="5"/>
  <c r="G83" i="5" s="1"/>
  <c r="L43" i="5"/>
  <c r="L45" i="5"/>
  <c r="O72" i="5"/>
  <c r="O76" i="5" s="1"/>
  <c r="F72" i="5"/>
  <c r="F76" i="5" s="1"/>
  <c r="F45" i="5"/>
  <c r="J72" i="5"/>
  <c r="J76" i="5" s="1"/>
  <c r="G45" i="5"/>
  <c r="G3" i="27"/>
  <c r="F103" i="5"/>
  <c r="K55" i="5"/>
  <c r="L55" i="5" s="1"/>
  <c r="L57" i="5" s="1"/>
  <c r="J113" i="5"/>
  <c r="H3" i="9"/>
  <c r="K113" i="5"/>
  <c r="F113" i="5"/>
  <c r="H113" i="5"/>
  <c r="I113" i="5"/>
  <c r="G113" i="5"/>
  <c r="K20" i="35"/>
  <c r="L20" i="35" s="1"/>
  <c r="M20" i="35" s="1"/>
  <c r="G10" i="19"/>
  <c r="E3" i="19"/>
  <c r="H109" i="5" s="1"/>
  <c r="M76" i="5"/>
  <c r="G60" i="39"/>
  <c r="I60" i="39" s="1"/>
  <c r="H34" i="38"/>
  <c r="H107" i="38"/>
  <c r="R11" i="41"/>
  <c r="G4" i="36"/>
  <c r="F35" i="29"/>
  <c r="F238" i="5" s="1"/>
  <c r="L60" i="39"/>
  <c r="G86" i="5"/>
  <c r="G87" i="5"/>
  <c r="N3" i="21"/>
  <c r="N125" i="5"/>
  <c r="I83" i="5"/>
  <c r="K4" i="20"/>
  <c r="K146" i="5" s="1"/>
  <c r="L7" i="20"/>
  <c r="E2" i="16"/>
  <c r="F7" i="16"/>
  <c r="H6" i="27"/>
  <c r="G2" i="27"/>
  <c r="AW26" i="38"/>
  <c r="AX25" i="38"/>
  <c r="AC25" i="38" s="1"/>
  <c r="F8" i="17"/>
  <c r="E3" i="17"/>
  <c r="AA21" i="38"/>
  <c r="AE21" i="38" s="1"/>
  <c r="F16" i="14"/>
  <c r="F2" i="14"/>
  <c r="F15" i="14"/>
  <c r="F14" i="14"/>
  <c r="G7" i="14"/>
  <c r="J81" i="5"/>
  <c r="AO22" i="38"/>
  <c r="B23" i="38"/>
  <c r="E20" i="10"/>
  <c r="E35" i="10" s="1"/>
  <c r="F12" i="10"/>
  <c r="F15" i="10" s="1"/>
  <c r="D10" i="7"/>
  <c r="D9" i="7"/>
  <c r="D2" i="7" s="1"/>
  <c r="H139" i="5" s="1"/>
  <c r="D8" i="7"/>
  <c r="E12" i="7"/>
  <c r="N191" i="5"/>
  <c r="N196" i="5" s="1"/>
  <c r="O193" i="5"/>
  <c r="K62" i="5"/>
  <c r="J64" i="5"/>
  <c r="I87" i="5"/>
  <c r="I86" i="5"/>
  <c r="I66" i="5"/>
  <c r="P11" i="19"/>
  <c r="D160" i="22"/>
  <c r="C163" i="22"/>
  <c r="D154" i="22"/>
  <c r="C155" i="22"/>
  <c r="H33" i="29"/>
  <c r="I29" i="29"/>
  <c r="H27" i="29"/>
  <c r="H83" i="5" l="1"/>
  <c r="F83" i="5"/>
  <c r="H87" i="5"/>
  <c r="H88" i="5" s="1"/>
  <c r="H66" i="5"/>
  <c r="G22" i="39"/>
  <c r="I22" i="39" s="1"/>
  <c r="J22" i="39" s="1"/>
  <c r="V13" i="39"/>
  <c r="L16" i="35"/>
  <c r="H3" i="27"/>
  <c r="G103" i="5"/>
  <c r="M55" i="5"/>
  <c r="N55" i="5" s="1"/>
  <c r="K16" i="35"/>
  <c r="K57" i="5"/>
  <c r="I3" i="9"/>
  <c r="L113" i="5"/>
  <c r="H10" i="19"/>
  <c r="F3" i="19"/>
  <c r="I109" i="5" s="1"/>
  <c r="H35" i="38"/>
  <c r="H108" i="38"/>
  <c r="G238" i="5"/>
  <c r="H238" i="5" s="1"/>
  <c r="I238" i="5" s="1"/>
  <c r="J238" i="5" s="1"/>
  <c r="K238" i="5" s="1"/>
  <c r="H4" i="36"/>
  <c r="F119" i="5"/>
  <c r="S11" i="41"/>
  <c r="R12" i="41"/>
  <c r="Q116" i="5" s="1"/>
  <c r="F5" i="29"/>
  <c r="G88" i="5"/>
  <c r="O3" i="21"/>
  <c r="O125" i="5"/>
  <c r="I6" i="27"/>
  <c r="H2" i="27"/>
  <c r="G7" i="16"/>
  <c r="F2" i="16"/>
  <c r="I88" i="5"/>
  <c r="M7" i="20"/>
  <c r="L4" i="20"/>
  <c r="L146" i="5" s="1"/>
  <c r="K81" i="5"/>
  <c r="K83" i="5" s="1"/>
  <c r="L62" i="5"/>
  <c r="K64" i="5"/>
  <c r="AO23" i="38"/>
  <c r="B24" i="38"/>
  <c r="J21" i="38"/>
  <c r="L21" i="38" s="1"/>
  <c r="P193" i="5"/>
  <c r="O191" i="5"/>
  <c r="O196" i="5" s="1"/>
  <c r="M16" i="35"/>
  <c r="N20" i="35"/>
  <c r="J87" i="5"/>
  <c r="J83" i="5"/>
  <c r="G2" i="14"/>
  <c r="H7" i="14"/>
  <c r="G16" i="14"/>
  <c r="G15" i="14"/>
  <c r="G14" i="14"/>
  <c r="G8" i="17"/>
  <c r="F3" i="17"/>
  <c r="F20" i="10"/>
  <c r="F35" i="10" s="1"/>
  <c r="G12" i="10"/>
  <c r="G15" i="10" s="1"/>
  <c r="E10" i="7"/>
  <c r="E8" i="7"/>
  <c r="F12" i="7"/>
  <c r="E9" i="7"/>
  <c r="E2" i="7" s="1"/>
  <c r="I139" i="5" s="1"/>
  <c r="Q11" i="19"/>
  <c r="J86" i="5"/>
  <c r="J66" i="5"/>
  <c r="AX26" i="38"/>
  <c r="AC26" i="38" s="1"/>
  <c r="AW27" i="38"/>
  <c r="G5" i="29"/>
  <c r="C164" i="22"/>
  <c r="D161" i="22"/>
  <c r="D153" i="22"/>
  <c r="C154" i="22"/>
  <c r="D152" i="22" s="1"/>
  <c r="H35" i="29"/>
  <c r="H184" i="5" s="1"/>
  <c r="I27" i="29"/>
  <c r="G184" i="5"/>
  <c r="J29" i="29"/>
  <c r="I33" i="29"/>
  <c r="I3" i="27" l="1"/>
  <c r="H103" i="5"/>
  <c r="M57" i="5"/>
  <c r="J3" i="9"/>
  <c r="M113" i="5"/>
  <c r="I10" i="19"/>
  <c r="G3" i="19"/>
  <c r="J109" i="5" s="1"/>
  <c r="H239" i="5"/>
  <c r="H36" i="38"/>
  <c r="H109" i="38"/>
  <c r="G239" i="5"/>
  <c r="I4" i="36"/>
  <c r="G119" i="5"/>
  <c r="T11" i="41"/>
  <c r="S12" i="41"/>
  <c r="R116" i="5" s="1"/>
  <c r="P3" i="21"/>
  <c r="P125" i="5"/>
  <c r="L238" i="5"/>
  <c r="J88" i="5"/>
  <c r="N7" i="20"/>
  <c r="M4" i="20"/>
  <c r="M146" i="5" s="1"/>
  <c r="K22" i="39"/>
  <c r="N22" i="39" s="1"/>
  <c r="H7" i="16"/>
  <c r="G2" i="16"/>
  <c r="I2" i="27"/>
  <c r="J6" i="27"/>
  <c r="H14" i="14"/>
  <c r="H15" i="14"/>
  <c r="I7" i="14"/>
  <c r="H2" i="14"/>
  <c r="H16" i="14"/>
  <c r="M62" i="5"/>
  <c r="L64" i="5"/>
  <c r="AW28" i="38"/>
  <c r="AX27" i="38"/>
  <c r="AC27" i="38" s="1"/>
  <c r="AO24" i="38"/>
  <c r="B25" i="38"/>
  <c r="R11" i="19"/>
  <c r="D22" i="38"/>
  <c r="BB21" i="38"/>
  <c r="L81" i="5"/>
  <c r="L83" i="5" s="1"/>
  <c r="F10" i="7"/>
  <c r="F8" i="7"/>
  <c r="G12" i="7"/>
  <c r="F9" i="7"/>
  <c r="F2" i="7" s="1"/>
  <c r="J139" i="5" s="1"/>
  <c r="P191" i="5"/>
  <c r="P196" i="5" s="1"/>
  <c r="Q193" i="5"/>
  <c r="K87" i="5"/>
  <c r="K86" i="5"/>
  <c r="K66" i="5"/>
  <c r="BD21" i="38"/>
  <c r="G20" i="10"/>
  <c r="G35" i="10" s="1"/>
  <c r="H12" i="10"/>
  <c r="H15" i="10" s="1"/>
  <c r="O20" i="35"/>
  <c r="N16" i="35"/>
  <c r="H8" i="17"/>
  <c r="G3" i="17"/>
  <c r="D162" i="22"/>
  <c r="C165" i="22"/>
  <c r="O55" i="5"/>
  <c r="N57" i="5"/>
  <c r="H5" i="29"/>
  <c r="I35" i="29"/>
  <c r="J33" i="29"/>
  <c r="K29" i="29"/>
  <c r="G197" i="5"/>
  <c r="H197" i="5"/>
  <c r="J27" i="29"/>
  <c r="J3" i="27" l="1"/>
  <c r="I103" i="5"/>
  <c r="K3" i="9"/>
  <c r="N113" i="5"/>
  <c r="J10" i="19"/>
  <c r="H3" i="19"/>
  <c r="K109" i="5" s="1"/>
  <c r="H37" i="38"/>
  <c r="H110" i="38"/>
  <c r="J4" i="36"/>
  <c r="H119" i="5"/>
  <c r="U11" i="41"/>
  <c r="U12" i="41" s="1"/>
  <c r="T116" i="5" s="1"/>
  <c r="T12" i="41"/>
  <c r="S116" i="5" s="1"/>
  <c r="V14" i="39"/>
  <c r="V15" i="39" s="1"/>
  <c r="F20" i="5" s="1"/>
  <c r="BE21" i="38"/>
  <c r="AJ21" i="38" s="1"/>
  <c r="AH21" i="38" s="1"/>
  <c r="AL21" i="38" s="1"/>
  <c r="AM21" i="38" s="1"/>
  <c r="Q22" i="39"/>
  <c r="I46" i="39"/>
  <c r="Q3" i="21"/>
  <c r="Q125" i="5"/>
  <c r="M238" i="5"/>
  <c r="J2" i="27"/>
  <c r="K6" i="27"/>
  <c r="L22" i="39"/>
  <c r="O22" i="39" s="1"/>
  <c r="I7" i="16"/>
  <c r="H2" i="16"/>
  <c r="O7" i="20"/>
  <c r="N4" i="20"/>
  <c r="N146" i="5" s="1"/>
  <c r="AO25" i="38"/>
  <c r="B26" i="38"/>
  <c r="Q191" i="5"/>
  <c r="Q196" i="5" s="1"/>
  <c r="R193" i="5"/>
  <c r="AX28" i="38"/>
  <c r="AC28" i="38" s="1"/>
  <c r="AW29" i="38"/>
  <c r="G9" i="7"/>
  <c r="G2" i="7" s="1"/>
  <c r="K139" i="5" s="1"/>
  <c r="G10" i="7"/>
  <c r="H12" i="7"/>
  <c r="G8" i="7"/>
  <c r="L87" i="5"/>
  <c r="L86" i="5"/>
  <c r="L66" i="5"/>
  <c r="K88" i="5"/>
  <c r="N62" i="5"/>
  <c r="M64" i="5"/>
  <c r="P20" i="35"/>
  <c r="O16" i="35"/>
  <c r="H20" i="10"/>
  <c r="H35" i="10" s="1"/>
  <c r="I12" i="10"/>
  <c r="I15" i="10" s="1"/>
  <c r="I2" i="14"/>
  <c r="J7" i="14"/>
  <c r="I16" i="14"/>
  <c r="I14" i="14"/>
  <c r="I15" i="14"/>
  <c r="I8" i="17"/>
  <c r="H3" i="17"/>
  <c r="M81" i="5"/>
  <c r="M83" i="5" s="1"/>
  <c r="BC21" i="38"/>
  <c r="Q21" i="38" s="1"/>
  <c r="D163" i="22"/>
  <c r="C166" i="22"/>
  <c r="P55" i="5"/>
  <c r="O57" i="5"/>
  <c r="I5" i="29"/>
  <c r="I184" i="5"/>
  <c r="I239" i="5" s="1"/>
  <c r="K27" i="29"/>
  <c r="L29" i="29"/>
  <c r="K33" i="29"/>
  <c r="J35" i="29"/>
  <c r="K3" i="27" l="1"/>
  <c r="J103" i="5"/>
  <c r="L3" i="9"/>
  <c r="O113" i="5"/>
  <c r="K10" i="19"/>
  <c r="I3" i="19"/>
  <c r="L109" i="5" s="1"/>
  <c r="H38" i="38"/>
  <c r="H111" i="38"/>
  <c r="K4" i="36"/>
  <c r="I119" i="5"/>
  <c r="R3" i="21"/>
  <c r="R125" i="5"/>
  <c r="N238" i="5"/>
  <c r="J7" i="16"/>
  <c r="I2" i="16"/>
  <c r="O4" i="20"/>
  <c r="O146" i="5" s="1"/>
  <c r="P7" i="20"/>
  <c r="L6" i="27"/>
  <c r="K2" i="27"/>
  <c r="M87" i="5"/>
  <c r="M86" i="5"/>
  <c r="M66" i="5"/>
  <c r="O62" i="5"/>
  <c r="N64" i="5"/>
  <c r="H10" i="7"/>
  <c r="H8" i="7"/>
  <c r="I12" i="7"/>
  <c r="H9" i="7"/>
  <c r="H2" i="7" s="1"/>
  <c r="L139" i="5" s="1"/>
  <c r="J12" i="10"/>
  <c r="J15" i="10" s="1"/>
  <c r="I20" i="10"/>
  <c r="I35" i="10" s="1"/>
  <c r="P16" i="35"/>
  <c r="Q20" i="35"/>
  <c r="B27" i="38"/>
  <c r="AO26" i="38"/>
  <c r="J8" i="17"/>
  <c r="I3" i="17"/>
  <c r="R191" i="5"/>
  <c r="R196" i="5" s="1"/>
  <c r="S193" i="5"/>
  <c r="S21" i="38"/>
  <c r="AQ21" i="38" s="1"/>
  <c r="O21" i="38"/>
  <c r="N81" i="5"/>
  <c r="N83" i="5" s="1"/>
  <c r="J2" i="14"/>
  <c r="J16" i="14"/>
  <c r="J15" i="14"/>
  <c r="J14" i="14"/>
  <c r="K7" i="14"/>
  <c r="L88" i="5"/>
  <c r="AW30" i="38"/>
  <c r="AX29" i="38"/>
  <c r="AC29" i="38" s="1"/>
  <c r="D164" i="22"/>
  <c r="C167" i="22"/>
  <c r="Q55" i="5"/>
  <c r="P57" i="5"/>
  <c r="K35" i="29"/>
  <c r="J5" i="29"/>
  <c r="J184" i="5"/>
  <c r="J239" i="5" s="1"/>
  <c r="I197" i="5"/>
  <c r="M29" i="29"/>
  <c r="L33" i="29"/>
  <c r="L27" i="29"/>
  <c r="L3" i="27" l="1"/>
  <c r="K103" i="5"/>
  <c r="M3" i="9"/>
  <c r="P113" i="5"/>
  <c r="L10" i="19"/>
  <c r="J3" i="19"/>
  <c r="M109" i="5" s="1"/>
  <c r="H39" i="38"/>
  <c r="H112" i="38"/>
  <c r="L4" i="36"/>
  <c r="J119" i="5"/>
  <c r="W22" i="38"/>
  <c r="U22" i="38"/>
  <c r="S3" i="21"/>
  <c r="T125" i="5" s="1"/>
  <c r="S125" i="5"/>
  <c r="O238" i="5"/>
  <c r="Q7" i="20"/>
  <c r="P4" i="20"/>
  <c r="P146" i="5" s="1"/>
  <c r="M88" i="5"/>
  <c r="L2" i="27"/>
  <c r="M6" i="27"/>
  <c r="K7" i="16"/>
  <c r="J2" i="16"/>
  <c r="O81" i="5"/>
  <c r="O83" i="5" s="1"/>
  <c r="K8" i="17"/>
  <c r="J3" i="17"/>
  <c r="P62" i="5"/>
  <c r="O64" i="5"/>
  <c r="K15" i="14"/>
  <c r="K16" i="14"/>
  <c r="L7" i="14"/>
  <c r="K14" i="14"/>
  <c r="K2" i="14"/>
  <c r="AO27" i="38"/>
  <c r="B28" i="38"/>
  <c r="J20" i="10"/>
  <c r="J35" i="10" s="1"/>
  <c r="K12" i="10"/>
  <c r="K15" i="10" s="1"/>
  <c r="I8" i="7"/>
  <c r="J12" i="7"/>
  <c r="I9" i="7"/>
  <c r="I2" i="7" s="1"/>
  <c r="M139" i="5" s="1"/>
  <c r="I10" i="7"/>
  <c r="S191" i="5"/>
  <c r="S196" i="5" s="1"/>
  <c r="T193" i="5"/>
  <c r="T191" i="5" s="1"/>
  <c r="T196" i="5" s="1"/>
  <c r="AX30" i="38"/>
  <c r="AC30" i="38" s="1"/>
  <c r="AW31" i="38"/>
  <c r="R20" i="35"/>
  <c r="Q16" i="35"/>
  <c r="E210" i="5"/>
  <c r="E206" i="5" s="1"/>
  <c r="N87" i="5"/>
  <c r="N86" i="5"/>
  <c r="N66" i="5"/>
  <c r="K184" i="5"/>
  <c r="K239" i="5" s="1"/>
  <c r="D165" i="22"/>
  <c r="C168" i="22"/>
  <c r="R55" i="5"/>
  <c r="Q57" i="5"/>
  <c r="K5" i="29"/>
  <c r="L35" i="29"/>
  <c r="L5" i="29" s="1"/>
  <c r="M27" i="29"/>
  <c r="M33" i="29"/>
  <c r="N29" i="29"/>
  <c r="J197" i="5"/>
  <c r="M3" i="27" l="1"/>
  <c r="L103" i="5"/>
  <c r="N3" i="9"/>
  <c r="Q113" i="5"/>
  <c r="M10" i="19"/>
  <c r="K3" i="19"/>
  <c r="N109" i="5" s="1"/>
  <c r="J25" i="5"/>
  <c r="J26" i="5" s="1"/>
  <c r="L25" i="5"/>
  <c r="L26" i="5" s="1"/>
  <c r="K25" i="5"/>
  <c r="K26" i="5" s="1"/>
  <c r="Q25" i="5"/>
  <c r="Q26" i="5" s="1"/>
  <c r="N25" i="5"/>
  <c r="N26" i="5" s="1"/>
  <c r="P25" i="5"/>
  <c r="P26" i="5" s="1"/>
  <c r="F25" i="5"/>
  <c r="F26" i="5" s="1"/>
  <c r="M25" i="5"/>
  <c r="M26" i="5" s="1"/>
  <c r="O25" i="5"/>
  <c r="O26" i="5" s="1"/>
  <c r="R25" i="5"/>
  <c r="R26" i="5" s="1"/>
  <c r="I25" i="5"/>
  <c r="I26" i="5" s="1"/>
  <c r="S25" i="5"/>
  <c r="G25" i="5"/>
  <c r="H25" i="5"/>
  <c r="H26" i="5" s="1"/>
  <c r="E209" i="5"/>
  <c r="H40" i="38"/>
  <c r="H113" i="38"/>
  <c r="M4" i="36"/>
  <c r="K119" i="5"/>
  <c r="AZ22" i="38"/>
  <c r="BA22" i="38" s="1"/>
  <c r="F17" i="5"/>
  <c r="Y22" i="38"/>
  <c r="AA22" i="38" s="1"/>
  <c r="AE22" i="38" s="1"/>
  <c r="K197" i="5"/>
  <c r="P238" i="5"/>
  <c r="K2" i="16"/>
  <c r="L7" i="16"/>
  <c r="N6" i="27"/>
  <c r="M2" i="27"/>
  <c r="R7" i="20"/>
  <c r="Q4" i="20"/>
  <c r="Q146" i="5" s="1"/>
  <c r="L184" i="5"/>
  <c r="L239" i="5" s="1"/>
  <c r="Q62" i="5"/>
  <c r="P64" i="5"/>
  <c r="B29" i="38"/>
  <c r="AO28" i="38"/>
  <c r="S20" i="35"/>
  <c r="R16" i="35"/>
  <c r="L8" i="17"/>
  <c r="K3" i="17"/>
  <c r="AX31" i="38"/>
  <c r="AC31" i="38" s="1"/>
  <c r="AW32" i="38"/>
  <c r="K20" i="10"/>
  <c r="K35" i="10" s="1"/>
  <c r="L12" i="10"/>
  <c r="L15" i="10" s="1"/>
  <c r="M7" i="14"/>
  <c r="L2" i="14"/>
  <c r="L15" i="14"/>
  <c r="L14" i="14"/>
  <c r="L16" i="14"/>
  <c r="O87" i="5"/>
  <c r="O86" i="5"/>
  <c r="O66" i="5"/>
  <c r="K12" i="7"/>
  <c r="J9" i="7"/>
  <c r="J2" i="7" s="1"/>
  <c r="N139" i="5" s="1"/>
  <c r="J10" i="7"/>
  <c r="J8" i="7"/>
  <c r="P81" i="5"/>
  <c r="P83" i="5" s="1"/>
  <c r="N88" i="5"/>
  <c r="M35" i="29"/>
  <c r="M184" i="5" s="1"/>
  <c r="M239" i="5" s="1"/>
  <c r="C169" i="22"/>
  <c r="D166" i="22"/>
  <c r="S55" i="5"/>
  <c r="R57" i="5"/>
  <c r="N33" i="29"/>
  <c r="O29" i="29"/>
  <c r="N27" i="29"/>
  <c r="N3" i="27" l="1"/>
  <c r="M103" i="5"/>
  <c r="S26" i="5"/>
  <c r="F265" i="5"/>
  <c r="O3" i="9"/>
  <c r="R113" i="5"/>
  <c r="N10" i="19"/>
  <c r="L3" i="19"/>
  <c r="O109" i="5" s="1"/>
  <c r="G26" i="5"/>
  <c r="H41" i="38"/>
  <c r="H114" i="38"/>
  <c r="N4" i="36"/>
  <c r="L119" i="5"/>
  <c r="F15" i="5"/>
  <c r="Q238" i="5"/>
  <c r="E61" i="39"/>
  <c r="O6" i="27"/>
  <c r="N2" i="27"/>
  <c r="J22" i="38"/>
  <c r="L22" i="38" s="1"/>
  <c r="BB22" i="38" s="1"/>
  <c r="M7" i="16"/>
  <c r="L2" i="16"/>
  <c r="R4" i="20"/>
  <c r="R146" i="5" s="1"/>
  <c r="S7" i="20"/>
  <c r="L197" i="5"/>
  <c r="M5" i="29"/>
  <c r="M8" i="17"/>
  <c r="L3" i="17"/>
  <c r="T20" i="35"/>
  <c r="T16" i="35" s="1"/>
  <c r="S16" i="35"/>
  <c r="L12" i="7"/>
  <c r="K9" i="7"/>
  <c r="K2" i="7" s="1"/>
  <c r="O139" i="5" s="1"/>
  <c r="K10" i="7"/>
  <c r="K8" i="7"/>
  <c r="L20" i="10"/>
  <c r="L35" i="10" s="1"/>
  <c r="M12" i="10"/>
  <c r="M15" i="10" s="1"/>
  <c r="AW33" i="38"/>
  <c r="AX32" i="38"/>
  <c r="AC32" i="38" s="1"/>
  <c r="P87" i="5"/>
  <c r="P66" i="5"/>
  <c r="P86" i="5"/>
  <c r="M14" i="14"/>
  <c r="M15" i="14"/>
  <c r="N7" i="14"/>
  <c r="M16" i="14"/>
  <c r="M2" i="14"/>
  <c r="B30" i="38"/>
  <c r="AO29" i="38"/>
  <c r="Q81" i="5"/>
  <c r="Q83" i="5" s="1"/>
  <c r="O88" i="5"/>
  <c r="R62" i="5"/>
  <c r="Q64" i="5"/>
  <c r="D167" i="22"/>
  <c r="C170" i="22"/>
  <c r="T55" i="5"/>
  <c r="T57" i="5" s="1"/>
  <c r="S57" i="5"/>
  <c r="N35" i="29"/>
  <c r="M197" i="5"/>
  <c r="O27" i="29"/>
  <c r="O33" i="29"/>
  <c r="P29" i="29"/>
  <c r="O3" i="27" l="1"/>
  <c r="N103" i="5"/>
  <c r="G265" i="5"/>
  <c r="H265" i="5" s="1"/>
  <c r="I265" i="5" s="1"/>
  <c r="J265" i="5" s="1"/>
  <c r="K265" i="5" s="1"/>
  <c r="L265" i="5" s="1"/>
  <c r="M265" i="5" s="1"/>
  <c r="N265" i="5" s="1"/>
  <c r="O265" i="5" s="1"/>
  <c r="P265" i="5" s="1"/>
  <c r="Q265" i="5" s="1"/>
  <c r="R265" i="5" s="1"/>
  <c r="S265" i="5" s="1"/>
  <c r="T265" i="5" s="1"/>
  <c r="P3" i="9"/>
  <c r="S113" i="5"/>
  <c r="O10" i="19"/>
  <c r="M3" i="19"/>
  <c r="P109" i="5" s="1"/>
  <c r="H42" i="38"/>
  <c r="H115" i="38"/>
  <c r="O4" i="36"/>
  <c r="M119" i="5"/>
  <c r="F16" i="5"/>
  <c r="M60" i="39"/>
  <c r="R238" i="5"/>
  <c r="P88" i="5"/>
  <c r="BD22" i="38"/>
  <c r="D23" i="38"/>
  <c r="P6" i="27"/>
  <c r="O2" i="27"/>
  <c r="T7" i="20"/>
  <c r="T4" i="20" s="1"/>
  <c r="T146" i="5" s="1"/>
  <c r="S4" i="20"/>
  <c r="S146" i="5" s="1"/>
  <c r="N184" i="5"/>
  <c r="N239" i="5" s="1"/>
  <c r="M2" i="16"/>
  <c r="N7" i="16"/>
  <c r="N5" i="29"/>
  <c r="S62" i="5"/>
  <c r="R64" i="5"/>
  <c r="AX33" i="38"/>
  <c r="AC33" i="38" s="1"/>
  <c r="AW34" i="38"/>
  <c r="M20" i="10"/>
  <c r="M35" i="10" s="1"/>
  <c r="N60" i="10" s="1"/>
  <c r="N61" i="10" s="1"/>
  <c r="F22" i="5" s="1"/>
  <c r="N12" i="10"/>
  <c r="N15" i="10" s="1"/>
  <c r="N8" i="17"/>
  <c r="M3" i="17"/>
  <c r="N14" i="14"/>
  <c r="O7" i="14"/>
  <c r="N2" i="14"/>
  <c r="N15" i="14"/>
  <c r="N16" i="14"/>
  <c r="R81" i="5"/>
  <c r="R83" i="5" s="1"/>
  <c r="B31" i="38"/>
  <c r="AO30" i="38"/>
  <c r="Q87" i="5"/>
  <c r="Q66" i="5"/>
  <c r="Q86" i="5"/>
  <c r="M12" i="7"/>
  <c r="L8" i="7"/>
  <c r="L10" i="7"/>
  <c r="L9" i="7"/>
  <c r="L2" i="7" s="1"/>
  <c r="P139" i="5" s="1"/>
  <c r="D168" i="22"/>
  <c r="C171" i="22"/>
  <c r="O35" i="29"/>
  <c r="P27" i="29"/>
  <c r="P33" i="29"/>
  <c r="Q29" i="29"/>
  <c r="P3" i="27" l="1"/>
  <c r="O103" i="5"/>
  <c r="D265" i="5"/>
  <c r="T25" i="5" s="1"/>
  <c r="Q3" i="9"/>
  <c r="T113" i="5"/>
  <c r="P10" i="19"/>
  <c r="N3" i="19"/>
  <c r="Q109" i="5" s="1"/>
  <c r="H43" i="38"/>
  <c r="H116" i="38"/>
  <c r="N58" i="10"/>
  <c r="N59" i="10" s="1"/>
  <c r="P4" i="36"/>
  <c r="N119" i="5"/>
  <c r="BE22" i="38"/>
  <c r="BC22" i="38"/>
  <c r="Q22" i="38" s="1"/>
  <c r="O22" i="38" s="1"/>
  <c r="S238" i="5"/>
  <c r="N197" i="5"/>
  <c r="P2" i="27"/>
  <c r="Q6" i="27"/>
  <c r="Q88" i="5"/>
  <c r="N2" i="16"/>
  <c r="O7" i="16"/>
  <c r="N40" i="10"/>
  <c r="N49" i="10"/>
  <c r="N51" i="10"/>
  <c r="N52" i="10" s="1"/>
  <c r="N68" i="10" s="1"/>
  <c r="AW35" i="38"/>
  <c r="AX34" i="38"/>
  <c r="AC34" i="38" s="1"/>
  <c r="M9" i="7"/>
  <c r="M2" i="7" s="1"/>
  <c r="Q139" i="5" s="1"/>
  <c r="M10" i="7"/>
  <c r="N12" i="7"/>
  <c r="M8" i="7"/>
  <c r="O8" i="17"/>
  <c r="N3" i="17"/>
  <c r="N20" i="10"/>
  <c r="N35" i="10" s="1"/>
  <c r="O12" i="10"/>
  <c r="O15" i="10" s="1"/>
  <c r="R87" i="5"/>
  <c r="R66" i="5"/>
  <c r="R86" i="5"/>
  <c r="T81" i="5"/>
  <c r="T83" i="5" s="1"/>
  <c r="S81" i="5"/>
  <c r="S83" i="5" s="1"/>
  <c r="N42" i="10"/>
  <c r="R56" i="38"/>
  <c r="B32" i="38"/>
  <c r="AS31" i="38"/>
  <c r="AO31" i="38"/>
  <c r="O2" i="14"/>
  <c r="O14" i="14"/>
  <c r="O16" i="14"/>
  <c r="O15" i="14"/>
  <c r="P7" i="14"/>
  <c r="T62" i="5"/>
  <c r="T64" i="5" s="1"/>
  <c r="S64" i="5"/>
  <c r="O184" i="5"/>
  <c r="O239" i="5" s="1"/>
  <c r="C172" i="22"/>
  <c r="D169" i="22"/>
  <c r="O5" i="29"/>
  <c r="P35" i="29"/>
  <c r="P184" i="5" s="1"/>
  <c r="P239" i="5" s="1"/>
  <c r="R29" i="29"/>
  <c r="Q33" i="29"/>
  <c r="Q27" i="29"/>
  <c r="Q3" i="27" l="1"/>
  <c r="P103" i="5"/>
  <c r="G29" i="5"/>
  <c r="T26" i="5"/>
  <c r="Q10" i="19"/>
  <c r="O3" i="19"/>
  <c r="R109" i="5" s="1"/>
  <c r="H44" i="38"/>
  <c r="H117" i="38"/>
  <c r="N63" i="10"/>
  <c r="Q4" i="36"/>
  <c r="O119" i="5"/>
  <c r="N43" i="10"/>
  <c r="G61" i="39"/>
  <c r="S22" i="38"/>
  <c r="AJ22" i="38"/>
  <c r="AH22" i="38" s="1"/>
  <c r="AL22" i="38" s="1"/>
  <c r="AM22" i="38" s="1"/>
  <c r="O197" i="5"/>
  <c r="T238" i="5"/>
  <c r="P7" i="16"/>
  <c r="P2" i="16" s="1"/>
  <c r="O2" i="16"/>
  <c r="Q2" i="27"/>
  <c r="R6" i="27"/>
  <c r="P5" i="29"/>
  <c r="N10" i="7"/>
  <c r="N8" i="7"/>
  <c r="N9" i="7"/>
  <c r="N2" i="7" s="1"/>
  <c r="R139" i="5" s="1"/>
  <c r="O12" i="7"/>
  <c r="T87" i="5"/>
  <c r="T66" i="5"/>
  <c r="T86" i="5"/>
  <c r="AS32" i="38"/>
  <c r="AO32" i="38"/>
  <c r="B33" i="38"/>
  <c r="P8" i="17"/>
  <c r="O3" i="17"/>
  <c r="P12" i="10"/>
  <c r="P15" i="10" s="1"/>
  <c r="O20" i="10"/>
  <c r="O35" i="10" s="1"/>
  <c r="N50" i="10"/>
  <c r="S87" i="5"/>
  <c r="S66" i="5"/>
  <c r="S86" i="5"/>
  <c r="P15" i="14"/>
  <c r="P14" i="14"/>
  <c r="P2" i="14"/>
  <c r="P16" i="14"/>
  <c r="AX35" i="38"/>
  <c r="AC35" i="38" s="1"/>
  <c r="AW36" i="38"/>
  <c r="R88" i="5"/>
  <c r="N41" i="10"/>
  <c r="N75" i="10" s="1"/>
  <c r="D170" i="22"/>
  <c r="C173" i="22"/>
  <c r="P197" i="5"/>
  <c r="Q35" i="29"/>
  <c r="R27" i="29"/>
  <c r="R33" i="29"/>
  <c r="S29" i="29"/>
  <c r="R3" i="27" l="1"/>
  <c r="Q103" i="5"/>
  <c r="R10" i="19"/>
  <c r="P3" i="19"/>
  <c r="S109" i="5" s="1"/>
  <c r="N45" i="10"/>
  <c r="N72" i="10" s="1"/>
  <c r="H45" i="38"/>
  <c r="H118" i="38"/>
  <c r="N67" i="10"/>
  <c r="W13" i="39"/>
  <c r="W15" i="39" s="1"/>
  <c r="G20" i="5" s="1"/>
  <c r="O58" i="10"/>
  <c r="O60" i="10"/>
  <c r="O61" i="10" s="1"/>
  <c r="G22" i="5" s="1"/>
  <c r="R4" i="36"/>
  <c r="P119" i="5"/>
  <c r="G23" i="39"/>
  <c r="I23" i="39" s="1"/>
  <c r="J23" i="39" s="1"/>
  <c r="AQ22" i="38"/>
  <c r="N54" i="10"/>
  <c r="N71" i="10" s="1"/>
  <c r="N76" i="10"/>
  <c r="N64" i="10" s="1"/>
  <c r="R2" i="27"/>
  <c r="S6" i="27"/>
  <c r="P12" i="7"/>
  <c r="O9" i="7"/>
  <c r="O2" i="7" s="1"/>
  <c r="S139" i="5" s="1"/>
  <c r="O8" i="7"/>
  <c r="O10" i="7"/>
  <c r="Q8" i="17"/>
  <c r="Q3" i="17" s="1"/>
  <c r="P3" i="17"/>
  <c r="T88" i="5"/>
  <c r="S88" i="5"/>
  <c r="B34" i="38"/>
  <c r="AO33" i="38"/>
  <c r="AS33" i="38"/>
  <c r="AX36" i="38"/>
  <c r="AC36" i="38" s="1"/>
  <c r="AW37" i="38"/>
  <c r="Q12" i="10"/>
  <c r="Q15" i="10" s="1"/>
  <c r="P20" i="10"/>
  <c r="P35" i="10" s="1"/>
  <c r="C174" i="22"/>
  <c r="D171" i="22"/>
  <c r="R35" i="29"/>
  <c r="Q5" i="29"/>
  <c r="Q184" i="5"/>
  <c r="Q239" i="5" s="1"/>
  <c r="S33" i="29"/>
  <c r="T29" i="29"/>
  <c r="T33" i="29" s="1"/>
  <c r="T27" i="29"/>
  <c r="S27" i="29"/>
  <c r="S3" i="27" l="1"/>
  <c r="R103" i="5"/>
  <c r="O51" i="10"/>
  <c r="O52" i="10" s="1"/>
  <c r="O68" i="10" s="1"/>
  <c r="O49" i="10"/>
  <c r="Q3" i="19"/>
  <c r="T109" i="5" s="1"/>
  <c r="O59" i="10"/>
  <c r="O63" i="10" s="1"/>
  <c r="H46" i="38"/>
  <c r="H119" i="38"/>
  <c r="S4" i="36"/>
  <c r="Q119" i="5"/>
  <c r="W23" i="38"/>
  <c r="G17" i="5" s="1"/>
  <c r="G15" i="5" s="1"/>
  <c r="G16" i="5" s="1"/>
  <c r="F210" i="5"/>
  <c r="F206" i="5" s="1"/>
  <c r="K23" i="39"/>
  <c r="N23" i="39" s="1"/>
  <c r="W14" i="39" s="1"/>
  <c r="O40" i="10"/>
  <c r="O41" i="10" s="1"/>
  <c r="O42" i="10"/>
  <c r="O43" i="10" s="1"/>
  <c r="U23" i="38"/>
  <c r="G62" i="39"/>
  <c r="S2" i="27"/>
  <c r="T6" i="27"/>
  <c r="T2" i="27" s="1"/>
  <c r="O50" i="10"/>
  <c r="P9" i="7"/>
  <c r="P2" i="7" s="1"/>
  <c r="T139" i="5" s="1"/>
  <c r="P8" i="7"/>
  <c r="P10" i="7"/>
  <c r="Q12" i="7"/>
  <c r="R12" i="10"/>
  <c r="R15" i="10" s="1"/>
  <c r="Q20" i="10"/>
  <c r="Q35" i="10" s="1"/>
  <c r="AO34" i="38"/>
  <c r="B35" i="38"/>
  <c r="AW38" i="38"/>
  <c r="AX37" i="38"/>
  <c r="AC37" i="38" s="1"/>
  <c r="R184" i="5"/>
  <c r="R239" i="5" s="1"/>
  <c r="R5" i="29"/>
  <c r="C175" i="22"/>
  <c r="D172" i="22"/>
  <c r="S35" i="29"/>
  <c r="Q197" i="5"/>
  <c r="T35" i="29"/>
  <c r="T3" i="27" l="1"/>
  <c r="T103" i="5" s="1"/>
  <c r="S103" i="5"/>
  <c r="O67" i="10"/>
  <c r="X13" i="39"/>
  <c r="X15" i="39" s="1"/>
  <c r="H20" i="5" s="1"/>
  <c r="H47" i="38"/>
  <c r="H120" i="38"/>
  <c r="P58" i="10"/>
  <c r="P60" i="10"/>
  <c r="P61" i="10" s="1"/>
  <c r="H22" i="5" s="1"/>
  <c r="Y23" i="38"/>
  <c r="E62" i="39" s="1"/>
  <c r="G24" i="39" s="1"/>
  <c r="I24" i="39" s="1"/>
  <c r="J24" i="39" s="1"/>
  <c r="K24" i="39" s="1"/>
  <c r="N24" i="39" s="1"/>
  <c r="X14" i="39" s="1"/>
  <c r="T4" i="36"/>
  <c r="R119" i="5"/>
  <c r="AZ23" i="38"/>
  <c r="BA23" i="38" s="1"/>
  <c r="L23" i="39"/>
  <c r="O23" i="39" s="1"/>
  <c r="F19" i="5" s="1"/>
  <c r="F18" i="5" s="1"/>
  <c r="Q23" i="39"/>
  <c r="H33" i="35"/>
  <c r="F17" i="35" s="1"/>
  <c r="F124" i="5" s="1"/>
  <c r="O54" i="10"/>
  <c r="P51" i="10" s="1"/>
  <c r="P52" i="10" s="1"/>
  <c r="P68" i="10" s="1"/>
  <c r="O76" i="10"/>
  <c r="O45" i="10"/>
  <c r="P40" i="10" s="1"/>
  <c r="O75" i="10"/>
  <c r="AO35" i="38"/>
  <c r="AS35" i="38"/>
  <c r="B36" i="38"/>
  <c r="S12" i="10"/>
  <c r="S15" i="10" s="1"/>
  <c r="R20" i="10"/>
  <c r="R35" i="10" s="1"/>
  <c r="Q9" i="7"/>
  <c r="Q2" i="7" s="1"/>
  <c r="Q8" i="7"/>
  <c r="Q10" i="7"/>
  <c r="R197" i="5"/>
  <c r="AX38" i="38"/>
  <c r="AC38" i="38" s="1"/>
  <c r="AW39" i="38"/>
  <c r="C176" i="22"/>
  <c r="D173" i="22"/>
  <c r="T184" i="5"/>
  <c r="T239" i="5" s="1"/>
  <c r="S5" i="29"/>
  <c r="S184" i="5"/>
  <c r="S239" i="5" s="1"/>
  <c r="T5" i="29"/>
  <c r="F178" i="5" l="1"/>
  <c r="F235" i="5" s="1"/>
  <c r="P59" i="10"/>
  <c r="P63" i="10" s="1"/>
  <c r="H48" i="38"/>
  <c r="H121" i="38"/>
  <c r="N60" i="39"/>
  <c r="AA23" i="38"/>
  <c r="J23" i="38" s="1"/>
  <c r="L23" i="38" s="1"/>
  <c r="BB23" i="38" s="1"/>
  <c r="F21" i="35"/>
  <c r="U4" i="36"/>
  <c r="T119" i="5" s="1"/>
  <c r="S119" i="5"/>
  <c r="P42" i="10"/>
  <c r="P43" i="10" s="1"/>
  <c r="P49" i="10"/>
  <c r="P50" i="10" s="1"/>
  <c r="O71" i="10"/>
  <c r="G63" i="39"/>
  <c r="O72" i="10"/>
  <c r="L24" i="39"/>
  <c r="O24" i="39" s="1"/>
  <c r="G19" i="5" s="1"/>
  <c r="G18" i="5" s="1"/>
  <c r="Q24" i="39"/>
  <c r="H34" i="35"/>
  <c r="G17" i="35" s="1"/>
  <c r="G124" i="5" s="1"/>
  <c r="S20" i="10"/>
  <c r="S35" i="10" s="1"/>
  <c r="T12" i="10"/>
  <c r="T15" i="10" s="1"/>
  <c r="AX39" i="38"/>
  <c r="AC39" i="38" s="1"/>
  <c r="AW40" i="38"/>
  <c r="B37" i="38"/>
  <c r="AO36" i="38"/>
  <c r="P41" i="10"/>
  <c r="C177" i="22"/>
  <c r="D174" i="22"/>
  <c r="S197" i="5"/>
  <c r="T197" i="5"/>
  <c r="G178" i="5" l="1"/>
  <c r="G235" i="5" s="1"/>
  <c r="P76" i="10"/>
  <c r="P54" i="10"/>
  <c r="P71" i="10" s="1"/>
  <c r="Q58" i="10"/>
  <c r="Q60" i="10"/>
  <c r="Q61" i="10" s="1"/>
  <c r="I22" i="5" s="1"/>
  <c r="P67" i="10"/>
  <c r="Y13" i="39"/>
  <c r="H49" i="38"/>
  <c r="H122" i="38"/>
  <c r="AE23" i="38"/>
  <c r="BD23" i="38" s="1"/>
  <c r="BE23" i="38" s="1"/>
  <c r="AJ23" i="38" s="1"/>
  <c r="AH23" i="38" s="1"/>
  <c r="AL23" i="38" s="1"/>
  <c r="AM23" i="38" s="1"/>
  <c r="D24" i="38"/>
  <c r="P45" i="10"/>
  <c r="Q42" i="10" s="1"/>
  <c r="Q43" i="10" s="1"/>
  <c r="P75" i="10"/>
  <c r="B38" i="38"/>
  <c r="AO37" i="38"/>
  <c r="AX40" i="38"/>
  <c r="AC40" i="38" s="1"/>
  <c r="AW41" i="38"/>
  <c r="U12" i="10"/>
  <c r="U15" i="10" s="1"/>
  <c r="T20" i="10"/>
  <c r="T35" i="10" s="1"/>
  <c r="C178" i="22"/>
  <c r="D175" i="22"/>
  <c r="Q51" i="10" l="1"/>
  <c r="Q52" i="10" s="1"/>
  <c r="Q68" i="10" s="1"/>
  <c r="Q49" i="10"/>
  <c r="BC23" i="38"/>
  <c r="Q23" i="38" s="1"/>
  <c r="S23" i="38" s="1"/>
  <c r="AQ23" i="38" s="1"/>
  <c r="U24" i="38" s="1"/>
  <c r="H50" i="38"/>
  <c r="H123" i="38"/>
  <c r="Q67" i="10"/>
  <c r="Z13" i="39"/>
  <c r="Q59" i="10"/>
  <c r="Q63" i="10" s="1"/>
  <c r="Q40" i="10"/>
  <c r="P72" i="10"/>
  <c r="G64" i="39"/>
  <c r="G199" i="5"/>
  <c r="AW42" i="38"/>
  <c r="AX41" i="38"/>
  <c r="AC41" i="38" s="1"/>
  <c r="U20" i="10"/>
  <c r="U35" i="10" s="1"/>
  <c r="V12" i="10"/>
  <c r="V15" i="10" s="1"/>
  <c r="Q41" i="10"/>
  <c r="Q50" i="10"/>
  <c r="B39" i="38"/>
  <c r="AO38" i="38"/>
  <c r="D176" i="22"/>
  <c r="C179" i="22"/>
  <c r="D177" i="22" s="1"/>
  <c r="O23" i="38" l="1"/>
  <c r="R58" i="10"/>
  <c r="R60" i="10"/>
  <c r="R61" i="10" s="1"/>
  <c r="J22" i="5" s="1"/>
  <c r="H51" i="38"/>
  <c r="H54" i="38" s="1"/>
  <c r="H124" i="38"/>
  <c r="H52" i="38" s="1"/>
  <c r="Q45" i="10"/>
  <c r="Q72" i="10" s="1"/>
  <c r="Q75" i="10"/>
  <c r="Q54" i="10"/>
  <c r="R51" i="10" s="1"/>
  <c r="R52" i="10" s="1"/>
  <c r="R68" i="10" s="1"/>
  <c r="Q76" i="10"/>
  <c r="W24" i="38"/>
  <c r="H17" i="5" s="1"/>
  <c r="H15" i="5" s="1"/>
  <c r="V20" i="10"/>
  <c r="V35" i="10" s="1"/>
  <c r="W12" i="10"/>
  <c r="W15" i="10" s="1"/>
  <c r="W20" i="10" s="1"/>
  <c r="W35" i="10" s="1"/>
  <c r="B40" i="38"/>
  <c r="AO39" i="38"/>
  <c r="G210" i="5"/>
  <c r="G206" i="5" s="1"/>
  <c r="AW43" i="38"/>
  <c r="AX42" i="38"/>
  <c r="AC42" i="38" s="1"/>
  <c r="R59" i="10" l="1"/>
  <c r="R63" i="10" s="1"/>
  <c r="H16" i="5"/>
  <c r="R42" i="10"/>
  <c r="R43" i="10" s="1"/>
  <c r="Q71" i="10"/>
  <c r="R40" i="10"/>
  <c r="R41" i="10" s="1"/>
  <c r="R75" i="10" s="1"/>
  <c r="R49" i="10"/>
  <c r="R50" i="10" s="1"/>
  <c r="R76" i="10" s="1"/>
  <c r="G65" i="39"/>
  <c r="AX43" i="38"/>
  <c r="AC43" i="38" s="1"/>
  <c r="AW44" i="38"/>
  <c r="B41" i="38"/>
  <c r="AO40" i="38"/>
  <c r="Y24" i="38"/>
  <c r="E63" i="39" s="1"/>
  <c r="AZ24" i="38"/>
  <c r="BA24" i="38" s="1"/>
  <c r="S58" i="10" l="1"/>
  <c r="S60" i="10"/>
  <c r="S61" i="10" s="1"/>
  <c r="K22" i="5" s="1"/>
  <c r="R67" i="10"/>
  <c r="AA13" i="39"/>
  <c r="R54" i="10"/>
  <c r="R71" i="10" s="1"/>
  <c r="R45" i="10"/>
  <c r="S42" i="10" s="1"/>
  <c r="S43" i="10" s="1"/>
  <c r="G25" i="39"/>
  <c r="I25" i="39" s="1"/>
  <c r="J25" i="39" s="1"/>
  <c r="Y15" i="39"/>
  <c r="I20" i="5" s="1"/>
  <c r="O60" i="39"/>
  <c r="G21" i="35"/>
  <c r="AW45" i="38"/>
  <c r="AX44" i="38"/>
  <c r="AC44" i="38" s="1"/>
  <c r="AO41" i="38"/>
  <c r="B42" i="38"/>
  <c r="AA24" i="38"/>
  <c r="S67" i="10" l="1"/>
  <c r="AB13" i="39"/>
  <c r="S59" i="10"/>
  <c r="S63" i="10" s="1"/>
  <c r="S49" i="10"/>
  <c r="S50" i="10" s="1"/>
  <c r="S51" i="10"/>
  <c r="S52" i="10" s="1"/>
  <c r="S68" i="10" s="1"/>
  <c r="S40" i="10"/>
  <c r="S41" i="10" s="1"/>
  <c r="S75" i="10" s="1"/>
  <c r="R72" i="10"/>
  <c r="G66" i="39"/>
  <c r="J24" i="38"/>
  <c r="L24" i="38" s="1"/>
  <c r="AE24" i="38"/>
  <c r="BD24" i="38" s="1"/>
  <c r="B43" i="38"/>
  <c r="AO42" i="38"/>
  <c r="K25" i="39"/>
  <c r="N25" i="39" s="1"/>
  <c r="Y14" i="39" s="1"/>
  <c r="AX45" i="38"/>
  <c r="AC45" i="38" s="1"/>
  <c r="AW46" i="38"/>
  <c r="T58" i="10" l="1"/>
  <c r="T60" i="10"/>
  <c r="T61" i="10" s="1"/>
  <c r="L22" i="5" s="1"/>
  <c r="S54" i="10"/>
  <c r="T49" i="10" s="1"/>
  <c r="S76" i="10"/>
  <c r="S45" i="10"/>
  <c r="S72" i="10" s="1"/>
  <c r="D25" i="38"/>
  <c r="BB24" i="38"/>
  <c r="BE24" i="38" s="1"/>
  <c r="AJ24" i="38" s="1"/>
  <c r="AH24" i="38" s="1"/>
  <c r="AL24" i="38" s="1"/>
  <c r="AM24" i="38" s="1"/>
  <c r="Q25" i="39"/>
  <c r="H35" i="35"/>
  <c r="H17" i="35" s="1"/>
  <c r="H124" i="5" s="1"/>
  <c r="L25" i="39"/>
  <c r="O25" i="39" s="1"/>
  <c r="H19" i="5" s="1"/>
  <c r="H18" i="5" s="1"/>
  <c r="H178" i="5" s="1"/>
  <c r="B44" i="38"/>
  <c r="AO43" i="38"/>
  <c r="AX46" i="38"/>
  <c r="AC46" i="38" s="1"/>
  <c r="AW47" i="38"/>
  <c r="H235" i="5" l="1"/>
  <c r="S71" i="10"/>
  <c r="T51" i="10"/>
  <c r="T52" i="10" s="1"/>
  <c r="T68" i="10" s="1"/>
  <c r="T59" i="10"/>
  <c r="T63" i="10" s="1"/>
  <c r="T40" i="10"/>
  <c r="T41" i="10" s="1"/>
  <c r="T42" i="10"/>
  <c r="T43" i="10" s="1"/>
  <c r="BC24" i="38"/>
  <c r="Q24" i="38" s="1"/>
  <c r="O24" i="38" s="1"/>
  <c r="AW48" i="38"/>
  <c r="AX47" i="38"/>
  <c r="AC47" i="38" s="1"/>
  <c r="B45" i="38"/>
  <c r="AO44" i="38"/>
  <c r="T50" i="10"/>
  <c r="T67" i="10" l="1"/>
  <c r="G67" i="39" s="1"/>
  <c r="AC13" i="39"/>
  <c r="U58" i="10"/>
  <c r="U60" i="10"/>
  <c r="U61" i="10" s="1"/>
  <c r="M22" i="5" s="1"/>
  <c r="H199" i="5"/>
  <c r="T45" i="10"/>
  <c r="U40" i="10" s="1"/>
  <c r="T75" i="10"/>
  <c r="T54" i="10"/>
  <c r="U49" i="10" s="1"/>
  <c r="T76" i="10"/>
  <c r="S24" i="38"/>
  <c r="AQ24" i="38" s="1"/>
  <c r="AX48" i="38"/>
  <c r="AC48" i="38" s="1"/>
  <c r="AW49" i="38"/>
  <c r="AO45" i="38"/>
  <c r="B46" i="38"/>
  <c r="U59" i="10" l="1"/>
  <c r="U63" i="10" s="1"/>
  <c r="T72" i="10"/>
  <c r="T71" i="10"/>
  <c r="U42" i="10"/>
  <c r="U43" i="10" s="1"/>
  <c r="U51" i="10"/>
  <c r="U52" i="10" s="1"/>
  <c r="U68" i="10" s="1"/>
  <c r="G68" i="39" s="1"/>
  <c r="W25" i="38"/>
  <c r="I17" i="5" s="1"/>
  <c r="I15" i="5" s="1"/>
  <c r="U25" i="38"/>
  <c r="H210" i="5"/>
  <c r="H206" i="5" s="1"/>
  <c r="AW50" i="38"/>
  <c r="AX49" i="38"/>
  <c r="AC49" i="38" s="1"/>
  <c r="U41" i="10"/>
  <c r="B47" i="38"/>
  <c r="AO46" i="38"/>
  <c r="U50" i="10"/>
  <c r="U76" i="10" s="1"/>
  <c r="V58" i="10" l="1"/>
  <c r="V60" i="10"/>
  <c r="V61" i="10" s="1"/>
  <c r="N22" i="5" s="1"/>
  <c r="U67" i="10"/>
  <c r="AD13" i="39"/>
  <c r="I16" i="5"/>
  <c r="U54" i="10"/>
  <c r="V51" i="10" s="1"/>
  <c r="V52" i="10" s="1"/>
  <c r="V68" i="10" s="1"/>
  <c r="U45" i="10"/>
  <c r="U72" i="10" s="1"/>
  <c r="U75" i="10"/>
  <c r="Y25" i="38"/>
  <c r="E64" i="39" s="1"/>
  <c r="Z15" i="39" s="1"/>
  <c r="J20" i="5" s="1"/>
  <c r="AZ25" i="38"/>
  <c r="BA25" i="38" s="1"/>
  <c r="AX50" i="38"/>
  <c r="AC50" i="38" s="1"/>
  <c r="AW51" i="38"/>
  <c r="AO47" i="38"/>
  <c r="B48" i="38"/>
  <c r="V59" i="10" l="1"/>
  <c r="V63" i="10" s="1"/>
  <c r="V49" i="10"/>
  <c r="V50" i="10" s="1"/>
  <c r="U71" i="10"/>
  <c r="V40" i="10"/>
  <c r="V42" i="10"/>
  <c r="V43" i="10" s="1"/>
  <c r="G26" i="39"/>
  <c r="I26" i="39" s="1"/>
  <c r="J26" i="39" s="1"/>
  <c r="K26" i="39" s="1"/>
  <c r="N26" i="39" s="1"/>
  <c r="Z14" i="39" s="1"/>
  <c r="P60" i="39"/>
  <c r="H21" i="35"/>
  <c r="AA25" i="38"/>
  <c r="J25" i="38" s="1"/>
  <c r="L25" i="38" s="1"/>
  <c r="BB25" i="38" s="1"/>
  <c r="B49" i="38"/>
  <c r="AO48" i="38"/>
  <c r="V41" i="10"/>
  <c r="AW52" i="38"/>
  <c r="AX52" i="38" s="1"/>
  <c r="AC52" i="38" s="1"/>
  <c r="AX51" i="38"/>
  <c r="AC51" i="38" s="1"/>
  <c r="AC54" i="38" s="1"/>
  <c r="V67" i="10" l="1"/>
  <c r="G69" i="39" s="1"/>
  <c r="AE13" i="39"/>
  <c r="W58" i="10"/>
  <c r="W60" i="10"/>
  <c r="W61" i="10" s="1"/>
  <c r="O22" i="5" s="1"/>
  <c r="V45" i="10"/>
  <c r="W40" i="10" s="1"/>
  <c r="V75" i="10"/>
  <c r="V54" i="10"/>
  <c r="V71" i="10" s="1"/>
  <c r="V76" i="10"/>
  <c r="AE25" i="38"/>
  <c r="BD25" i="38" s="1"/>
  <c r="BE25" i="38" s="1"/>
  <c r="AJ25" i="38" s="1"/>
  <c r="AH25" i="38" s="1"/>
  <c r="AL25" i="38" s="1"/>
  <c r="AM25" i="38" s="1"/>
  <c r="D26" i="38"/>
  <c r="Q26" i="39"/>
  <c r="H36" i="35"/>
  <c r="I17" i="35" s="1"/>
  <c r="I124" i="5" s="1"/>
  <c r="L26" i="39"/>
  <c r="O26" i="39" s="1"/>
  <c r="I19" i="5" s="1"/>
  <c r="I18" i="5" s="1"/>
  <c r="AO49" i="38"/>
  <c r="B50" i="38"/>
  <c r="I178" i="5" l="1"/>
  <c r="I235" i="5" s="1"/>
  <c r="W42" i="10"/>
  <c r="W43" i="10" s="1"/>
  <c r="W67" i="10" s="1"/>
  <c r="W59" i="10"/>
  <c r="W63" i="10" s="1"/>
  <c r="W49" i="10"/>
  <c r="W50" i="10" s="1"/>
  <c r="W51" i="10"/>
  <c r="W52" i="10" s="1"/>
  <c r="W68" i="10" s="1"/>
  <c r="G70" i="39" s="1"/>
  <c r="V72" i="10"/>
  <c r="BC25" i="38"/>
  <c r="Q25" i="38" s="1"/>
  <c r="O25" i="38" s="1"/>
  <c r="B51" i="38"/>
  <c r="AO50" i="38"/>
  <c r="W41" i="10"/>
  <c r="AF13" i="39" l="1"/>
  <c r="X58" i="10"/>
  <c r="X60" i="10"/>
  <c r="X61" i="10" s="1"/>
  <c r="P22" i="5" s="1"/>
  <c r="S25" i="38"/>
  <c r="AQ25" i="38" s="1"/>
  <c r="W26" i="38" s="1"/>
  <c r="J17" i="5" s="1"/>
  <c r="J15" i="5" s="1"/>
  <c r="I199" i="5"/>
  <c r="W54" i="10"/>
  <c r="X51" i="10" s="1"/>
  <c r="X52" i="10" s="1"/>
  <c r="X68" i="10" s="1"/>
  <c r="W76" i="10"/>
  <c r="W45" i="10"/>
  <c r="W72" i="10" s="1"/>
  <c r="W75" i="10"/>
  <c r="AO51" i="38"/>
  <c r="B52" i="38"/>
  <c r="AO52" i="38" s="1"/>
  <c r="X59" i="10" l="1"/>
  <c r="X63" i="10" s="1"/>
  <c r="J16" i="5"/>
  <c r="X49" i="10"/>
  <c r="X50" i="10" s="1"/>
  <c r="X76" i="10" s="1"/>
  <c r="W71" i="10"/>
  <c r="X42" i="10"/>
  <c r="X43" i="10" s="1"/>
  <c r="X40" i="10"/>
  <c r="X41" i="10" s="1"/>
  <c r="I210" i="5"/>
  <c r="I206" i="5" s="1"/>
  <c r="U26" i="38"/>
  <c r="AZ26" i="38" s="1"/>
  <c r="BA26" i="38" s="1"/>
  <c r="Y26" i="38"/>
  <c r="E65" i="39" s="1"/>
  <c r="Y58" i="10" l="1"/>
  <c r="Y60" i="10"/>
  <c r="Y61" i="10" s="1"/>
  <c r="Q22" i="5" s="1"/>
  <c r="X67" i="10"/>
  <c r="G71" i="39" s="1"/>
  <c r="AG13" i="39"/>
  <c r="G27" i="39"/>
  <c r="I27" i="39" s="1"/>
  <c r="J27" i="39" s="1"/>
  <c r="AA15" i="39"/>
  <c r="K20" i="5" s="1"/>
  <c r="X54" i="10"/>
  <c r="Y49" i="10" s="1"/>
  <c r="X45" i="10"/>
  <c r="X72" i="10" s="1"/>
  <c r="X75" i="10"/>
  <c r="Q60" i="39"/>
  <c r="I21" i="35"/>
  <c r="AA26" i="38"/>
  <c r="J26" i="38" s="1"/>
  <c r="L26" i="38" s="1"/>
  <c r="Y59" i="10" l="1"/>
  <c r="Y63" i="10" s="1"/>
  <c r="X71" i="10"/>
  <c r="Y51" i="10"/>
  <c r="Y52" i="10" s="1"/>
  <c r="Y68" i="10" s="1"/>
  <c r="Y40" i="10"/>
  <c r="Y41" i="10" s="1"/>
  <c r="Y42" i="10"/>
  <c r="Y43" i="10" s="1"/>
  <c r="K27" i="39"/>
  <c r="N27" i="39" s="1"/>
  <c r="AA14" i="39" s="1"/>
  <c r="AE26" i="38"/>
  <c r="Y50" i="10"/>
  <c r="BB26" i="38"/>
  <c r="D27" i="38"/>
  <c r="Y67" i="10" l="1"/>
  <c r="G72" i="39" s="1"/>
  <c r="AH13" i="39"/>
  <c r="Z58" i="10"/>
  <c r="Z60" i="10"/>
  <c r="Z61" i="10" s="1"/>
  <c r="R22" i="5" s="1"/>
  <c r="Y45" i="10"/>
  <c r="Z42" i="10" s="1"/>
  <c r="Z43" i="10" s="1"/>
  <c r="Y75" i="10"/>
  <c r="Y54" i="10"/>
  <c r="Z51" i="10" s="1"/>
  <c r="Z52" i="10" s="1"/>
  <c r="Z68" i="10" s="1"/>
  <c r="Y76" i="10"/>
  <c r="Q27" i="39"/>
  <c r="H37" i="35"/>
  <c r="J17" i="35" s="1"/>
  <c r="J124" i="5" s="1"/>
  <c r="L27" i="39"/>
  <c r="O27" i="39" s="1"/>
  <c r="J19" i="5" s="1"/>
  <c r="J18" i="5" s="1"/>
  <c r="BD26" i="38"/>
  <c r="BE26" i="38" s="1"/>
  <c r="AJ26" i="38" s="1"/>
  <c r="AH26" i="38" s="1"/>
  <c r="AL26" i="38" s="1"/>
  <c r="AM26" i="38" s="1"/>
  <c r="J178" i="5" l="1"/>
  <c r="J235" i="5" s="1"/>
  <c r="Z67" i="10"/>
  <c r="AI13" i="39"/>
  <c r="Z59" i="10"/>
  <c r="Z63" i="10" s="1"/>
  <c r="Y72" i="10"/>
  <c r="Z49" i="10"/>
  <c r="Z50" i="10" s="1"/>
  <c r="Y71" i="10"/>
  <c r="Z40" i="10"/>
  <c r="Z41" i="10" s="1"/>
  <c r="G73" i="39"/>
  <c r="BC26" i="38"/>
  <c r="Q26" i="38" s="1"/>
  <c r="S26" i="38" s="1"/>
  <c r="AQ26" i="38" s="1"/>
  <c r="AA58" i="10" l="1"/>
  <c r="AA60" i="10"/>
  <c r="AA61" i="10" s="1"/>
  <c r="S22" i="5" s="1"/>
  <c r="J199" i="5"/>
  <c r="Z54" i="10"/>
  <c r="AA51" i="10" s="1"/>
  <c r="AA52" i="10" s="1"/>
  <c r="AA68" i="10" s="1"/>
  <c r="Z76" i="10"/>
  <c r="Z45" i="10"/>
  <c r="AA40" i="10" s="1"/>
  <c r="Z75" i="10"/>
  <c r="W27" i="38"/>
  <c r="K17" i="5" s="1"/>
  <c r="K15" i="5" s="1"/>
  <c r="U27" i="38"/>
  <c r="O26" i="38"/>
  <c r="J210" i="5"/>
  <c r="J206" i="5" s="1"/>
  <c r="AA59" i="10" l="1"/>
  <c r="AA63" i="10" s="1"/>
  <c r="K16" i="5"/>
  <c r="AA49" i="10"/>
  <c r="AA50" i="10" s="1"/>
  <c r="Z71" i="10"/>
  <c r="AA42" i="10"/>
  <c r="AA43" i="10" s="1"/>
  <c r="Z72" i="10"/>
  <c r="AZ27" i="38"/>
  <c r="BA27" i="38" s="1"/>
  <c r="Y27" i="38"/>
  <c r="AA41" i="10"/>
  <c r="AA67" i="10" l="1"/>
  <c r="G74" i="39" s="1"/>
  <c r="AJ13" i="39"/>
  <c r="AB58" i="10"/>
  <c r="AB60" i="10"/>
  <c r="AB61" i="10" s="1"/>
  <c r="T22" i="5" s="1"/>
  <c r="AA45" i="10"/>
  <c r="AB42" i="10" s="1"/>
  <c r="AB43" i="10" s="1"/>
  <c r="AA75" i="10"/>
  <c r="AA54" i="10"/>
  <c r="AB49" i="10" s="1"/>
  <c r="AA76" i="10"/>
  <c r="AA27" i="38"/>
  <c r="J27" i="38" s="1"/>
  <c r="L27" i="38" s="1"/>
  <c r="E66" i="39"/>
  <c r="J21" i="35"/>
  <c r="AB59" i="10" l="1"/>
  <c r="AB63" i="10" s="1"/>
  <c r="AB67" i="10"/>
  <c r="AK13" i="39"/>
  <c r="AB40" i="10"/>
  <c r="AB41" i="10" s="1"/>
  <c r="AA72" i="10"/>
  <c r="G28" i="39"/>
  <c r="I28" i="39" s="1"/>
  <c r="J28" i="39" s="1"/>
  <c r="K28" i="39" s="1"/>
  <c r="N28" i="39" s="1"/>
  <c r="AB14" i="39" s="1"/>
  <c r="AB15" i="39"/>
  <c r="L20" i="5" s="1"/>
  <c r="AA71" i="10"/>
  <c r="AB51" i="10"/>
  <c r="AB52" i="10" s="1"/>
  <c r="AB68" i="10" s="1"/>
  <c r="G75" i="39" s="1"/>
  <c r="AE27" i="38"/>
  <c r="BD27" i="38" s="1"/>
  <c r="R60" i="39"/>
  <c r="AB50" i="10"/>
  <c r="D28" i="38"/>
  <c r="BB27" i="38"/>
  <c r="AB45" i="10" l="1"/>
  <c r="AB72" i="10" s="1"/>
  <c r="AB75" i="10"/>
  <c r="AB54" i="10"/>
  <c r="AB71" i="10" s="1"/>
  <c r="AB76" i="10"/>
  <c r="BC27" i="38"/>
  <c r="Q27" i="38" s="1"/>
  <c r="O27" i="38" s="1"/>
  <c r="Q28" i="39"/>
  <c r="H38" i="35"/>
  <c r="K17" i="35" s="1"/>
  <c r="K124" i="5" s="1"/>
  <c r="BE27" i="38"/>
  <c r="AJ27" i="38" s="1"/>
  <c r="AH27" i="38" s="1"/>
  <c r="AL27" i="38" s="1"/>
  <c r="AM27" i="38" s="1"/>
  <c r="L28" i="39"/>
  <c r="O28" i="39" s="1"/>
  <c r="K19" i="5" s="1"/>
  <c r="K18" i="5" s="1"/>
  <c r="K178" i="5" l="1"/>
  <c r="K235" i="5" s="1"/>
  <c r="S27" i="38"/>
  <c r="AQ27" i="38" s="1"/>
  <c r="U28" i="38" s="1"/>
  <c r="K199" i="5" l="1"/>
  <c r="W28" i="38"/>
  <c r="Y28" i="38" s="1"/>
  <c r="E67" i="39" s="1"/>
  <c r="K210" i="5"/>
  <c r="K206" i="5" s="1"/>
  <c r="G29" i="39" l="1"/>
  <c r="I29" i="39" s="1"/>
  <c r="J29" i="39" s="1"/>
  <c r="AC15" i="39"/>
  <c r="M20" i="5" s="1"/>
  <c r="AZ28" i="38"/>
  <c r="BA28" i="38" s="1"/>
  <c r="L17" i="5"/>
  <c r="L15" i="5" s="1"/>
  <c r="S60" i="39"/>
  <c r="K21" i="35"/>
  <c r="AA28" i="38"/>
  <c r="J28" i="38" s="1"/>
  <c r="L28" i="38" s="1"/>
  <c r="L16" i="5" l="1"/>
  <c r="AE28" i="38"/>
  <c r="BD28" i="38" s="1"/>
  <c r="BB28" i="38"/>
  <c r="D29" i="38"/>
  <c r="K29" i="39"/>
  <c r="N29" i="39" s="1"/>
  <c r="AC14" i="39" s="1"/>
  <c r="Q29" i="39" l="1"/>
  <c r="H39" i="35"/>
  <c r="L17" i="35" s="1"/>
  <c r="L124" i="5" s="1"/>
  <c r="BC28" i="38"/>
  <c r="Q28" i="38" s="1"/>
  <c r="S28" i="38" s="1"/>
  <c r="L29" i="39"/>
  <c r="O29" i="39" s="1"/>
  <c r="L19" i="5" s="1"/>
  <c r="L18" i="5" s="1"/>
  <c r="BE28" i="38"/>
  <c r="AJ28" i="38" s="1"/>
  <c r="AH28" i="38" s="1"/>
  <c r="AL28" i="38" s="1"/>
  <c r="AM28" i="38" s="1"/>
  <c r="L178" i="5" l="1"/>
  <c r="L235" i="5" s="1"/>
  <c r="O28" i="38"/>
  <c r="AQ28" i="38"/>
  <c r="W29" i="38" l="1"/>
  <c r="M17" i="5" s="1"/>
  <c r="M15" i="5" s="1"/>
  <c r="U29" i="38"/>
  <c r="L199" i="5"/>
  <c r="L210" i="5"/>
  <c r="L206" i="5" s="1"/>
  <c r="M16" i="5" l="1"/>
  <c r="Y29" i="38"/>
  <c r="E68" i="39" s="1"/>
  <c r="AZ29" i="38"/>
  <c r="BA29" i="38" s="1"/>
  <c r="G30" i="39" l="1"/>
  <c r="I30" i="39" s="1"/>
  <c r="J30" i="39" s="1"/>
  <c r="AD15" i="39"/>
  <c r="N20" i="5" s="1"/>
  <c r="T60" i="39"/>
  <c r="AA29" i="38"/>
  <c r="J29" i="38" s="1"/>
  <c r="L29" i="38" s="1"/>
  <c r="D30" i="38" s="1"/>
  <c r="L21" i="35"/>
  <c r="BB29" i="38" l="1"/>
  <c r="AE29" i="38"/>
  <c r="BD29" i="38" s="1"/>
  <c r="K30" i="39"/>
  <c r="N30" i="39" s="1"/>
  <c r="AD14" i="39" s="1"/>
  <c r="BE29" i="38" l="1"/>
  <c r="AJ29" i="38" s="1"/>
  <c r="AH29" i="38" s="1"/>
  <c r="AL29" i="38" s="1"/>
  <c r="AM29" i="38" s="1"/>
  <c r="Q30" i="39"/>
  <c r="H40" i="35"/>
  <c r="M17" i="35" s="1"/>
  <c r="M124" i="5" s="1"/>
  <c r="L30" i="39"/>
  <c r="O30" i="39" s="1"/>
  <c r="M19" i="5" s="1"/>
  <c r="M18" i="5" s="1"/>
  <c r="BC29" i="38"/>
  <c r="Q29" i="38" s="1"/>
  <c r="S29" i="38" s="1"/>
  <c r="M178" i="5" l="1"/>
  <c r="M235" i="5" s="1"/>
  <c r="O29" i="38"/>
  <c r="AQ29" i="38"/>
  <c r="M199" i="5" l="1"/>
  <c r="W30" i="38"/>
  <c r="N17" i="5" s="1"/>
  <c r="N15" i="5" s="1"/>
  <c r="U30" i="38"/>
  <c r="M210" i="5"/>
  <c r="M206" i="5" s="1"/>
  <c r="N16" i="5" l="1"/>
  <c r="Y30" i="38"/>
  <c r="AZ30" i="38"/>
  <c r="BA30" i="38" s="1"/>
  <c r="AA30" i="38" l="1"/>
  <c r="J30" i="38" s="1"/>
  <c r="L30" i="38" s="1"/>
  <c r="BB30" i="38" s="1"/>
  <c r="E69" i="39"/>
  <c r="M21" i="35"/>
  <c r="G31" i="39" l="1"/>
  <c r="I31" i="39" s="1"/>
  <c r="J31" i="39" s="1"/>
  <c r="K31" i="39" s="1"/>
  <c r="N31" i="39" s="1"/>
  <c r="AE14" i="39" s="1"/>
  <c r="AE15" i="39"/>
  <c r="O20" i="5" s="1"/>
  <c r="AE30" i="38"/>
  <c r="BD30" i="38" s="1"/>
  <c r="BE30" i="38" s="1"/>
  <c r="AJ30" i="38" s="1"/>
  <c r="AH30" i="38" s="1"/>
  <c r="AL30" i="38" s="1"/>
  <c r="AM30" i="38" s="1"/>
  <c r="D31" i="38"/>
  <c r="U60" i="39"/>
  <c r="Q31" i="39" l="1"/>
  <c r="H41" i="35"/>
  <c r="N17" i="35" s="1"/>
  <c r="N124" i="5" s="1"/>
  <c r="L31" i="39"/>
  <c r="O31" i="39" s="1"/>
  <c r="N19" i="5" s="1"/>
  <c r="N18" i="5" s="1"/>
  <c r="BC30" i="38"/>
  <c r="Q30" i="38" s="1"/>
  <c r="N178" i="5" l="1"/>
  <c r="N235" i="5" s="1"/>
  <c r="S30" i="38"/>
  <c r="AQ30" i="38" s="1"/>
  <c r="O30" i="38"/>
  <c r="N199" i="5" l="1"/>
  <c r="W31" i="38"/>
  <c r="O17" i="5" s="1"/>
  <c r="O15" i="5" s="1"/>
  <c r="U31" i="38"/>
  <c r="N210" i="5"/>
  <c r="N206" i="5" s="1"/>
  <c r="O16" i="5" l="1"/>
  <c r="AZ31" i="38"/>
  <c r="BA31" i="38" s="1"/>
  <c r="Y31" i="38"/>
  <c r="E70" i="39" s="1"/>
  <c r="G32" i="39" l="1"/>
  <c r="I32" i="39" s="1"/>
  <c r="J32" i="39" s="1"/>
  <c r="AF15" i="39"/>
  <c r="P20" i="5" s="1"/>
  <c r="V60" i="39"/>
  <c r="AA31" i="38"/>
  <c r="J31" i="38" s="1"/>
  <c r="L31" i="38" s="1"/>
  <c r="N21" i="35"/>
  <c r="K32" i="39" l="1"/>
  <c r="N32" i="39" s="1"/>
  <c r="AF14" i="39" s="1"/>
  <c r="D32" i="38"/>
  <c r="BB31" i="38"/>
  <c r="AE31" i="38"/>
  <c r="Q32" i="39" l="1"/>
  <c r="H42" i="35"/>
  <c r="O17" i="35" s="1"/>
  <c r="O124" i="5" s="1"/>
  <c r="L32" i="39"/>
  <c r="O32" i="39" s="1"/>
  <c r="O19" i="5" s="1"/>
  <c r="O18" i="5" s="1"/>
  <c r="BD31" i="38"/>
  <c r="BE31" i="38" s="1"/>
  <c r="AJ31" i="38" s="1"/>
  <c r="AH31" i="38" s="1"/>
  <c r="AL31" i="38" s="1"/>
  <c r="AM31" i="38" s="1"/>
  <c r="O178" i="5" l="1"/>
  <c r="O235" i="5" s="1"/>
  <c r="BC31" i="38"/>
  <c r="Q31" i="38" s="1"/>
  <c r="O31" i="38" s="1"/>
  <c r="O199" i="5" l="1"/>
  <c r="S31" i="38"/>
  <c r="AQ31" i="38" s="1"/>
  <c r="W32" i="38" l="1"/>
  <c r="U32" i="38"/>
  <c r="O210" i="5"/>
  <c r="O206" i="5" s="1"/>
  <c r="AZ32" i="38" l="1"/>
  <c r="BA32" i="38" s="1"/>
  <c r="P17" i="5"/>
  <c r="P15" i="5" s="1"/>
  <c r="P16" i="5" s="1"/>
  <c r="Y32" i="38"/>
  <c r="AA32" i="38" s="1"/>
  <c r="J32" i="38" s="1"/>
  <c r="L32" i="38" s="1"/>
  <c r="D33" i="38" s="1"/>
  <c r="BB32" i="38" l="1"/>
  <c r="E71" i="39"/>
  <c r="AG15" i="39" s="1"/>
  <c r="Q20" i="5" s="1"/>
  <c r="O21" i="35"/>
  <c r="AE32" i="38"/>
  <c r="BD32" i="38" s="1"/>
  <c r="G33" i="39" l="1"/>
  <c r="I33" i="39" s="1"/>
  <c r="J33" i="39" s="1"/>
  <c r="BC32" i="38"/>
  <c r="Q32" i="38" s="1"/>
  <c r="O32" i="38" s="1"/>
  <c r="W60" i="39"/>
  <c r="BE32" i="38"/>
  <c r="AJ32" i="38" s="1"/>
  <c r="AH32" i="38" s="1"/>
  <c r="AL32" i="38" s="1"/>
  <c r="AM32" i="38" s="1"/>
  <c r="K33" i="39" l="1"/>
  <c r="N33" i="39" s="1"/>
  <c r="AG14" i="39" s="1"/>
  <c r="S32" i="38"/>
  <c r="AQ32" i="38" s="1"/>
  <c r="L33" i="39" l="1"/>
  <c r="O33" i="39" s="1"/>
  <c r="P19" i="5" s="1"/>
  <c r="P18" i="5" s="1"/>
  <c r="H43" i="35"/>
  <c r="P17" i="35" s="1"/>
  <c r="P124" i="5" s="1"/>
  <c r="Q33" i="39"/>
  <c r="P210" i="5"/>
  <c r="P206" i="5" s="1"/>
  <c r="W33" i="38"/>
  <c r="Y33" i="38" s="1"/>
  <c r="U33" i="38"/>
  <c r="P178" i="5" l="1"/>
  <c r="P235" i="5" s="1"/>
  <c r="Q17" i="5"/>
  <c r="Q15" i="5" s="1"/>
  <c r="Q16" i="5" s="1"/>
  <c r="AZ33" i="38"/>
  <c r="BA33" i="38" s="1"/>
  <c r="AA33" i="38"/>
  <c r="J33" i="38" s="1"/>
  <c r="L33" i="38" s="1"/>
  <c r="E72" i="39"/>
  <c r="P21" i="35"/>
  <c r="P199" i="5" l="1"/>
  <c r="G34" i="39"/>
  <c r="I34" i="39" s="1"/>
  <c r="J34" i="39" s="1"/>
  <c r="K34" i="39" s="1"/>
  <c r="N34" i="39" s="1"/>
  <c r="AH14" i="39" s="1"/>
  <c r="AH15" i="39"/>
  <c r="R20" i="5" s="1"/>
  <c r="AE33" i="38"/>
  <c r="BD33" i="38" s="1"/>
  <c r="D34" i="38"/>
  <c r="BB33" i="38"/>
  <c r="X60" i="39"/>
  <c r="BC33" i="38" l="1"/>
  <c r="Q33" i="38" s="1"/>
  <c r="O33" i="38" s="1"/>
  <c r="BE33" i="38"/>
  <c r="AJ33" i="38" s="1"/>
  <c r="AH33" i="38" s="1"/>
  <c r="AL33" i="38" s="1"/>
  <c r="AM33" i="38" s="1"/>
  <c r="Q34" i="39"/>
  <c r="H44" i="35"/>
  <c r="Q17" i="35" s="1"/>
  <c r="Q124" i="5" s="1"/>
  <c r="L34" i="39"/>
  <c r="O34" i="39" s="1"/>
  <c r="Q19" i="5" s="1"/>
  <c r="Q18" i="5" s="1"/>
  <c r="Q178" i="5" l="1"/>
  <c r="Q235" i="5" s="1"/>
  <c r="S33" i="38"/>
  <c r="AQ33" i="38" s="1"/>
  <c r="W34" i="38" s="1"/>
  <c r="R17" i="5" s="1"/>
  <c r="R15" i="5" s="1"/>
  <c r="R16" i="5" s="1"/>
  <c r="Q210" i="5" l="1"/>
  <c r="Q206" i="5" s="1"/>
  <c r="Q199" i="5"/>
  <c r="U34" i="38"/>
  <c r="AZ34" i="38" s="1"/>
  <c r="BA34" i="38" s="1"/>
  <c r="Y34" i="38"/>
  <c r="E73" i="39" s="1"/>
  <c r="G35" i="39" l="1"/>
  <c r="I35" i="39" s="1"/>
  <c r="J35" i="39" s="1"/>
  <c r="AI15" i="39"/>
  <c r="S20" i="5" s="1"/>
  <c r="Y60" i="39"/>
  <c r="AA34" i="38"/>
  <c r="J34" i="38" s="1"/>
  <c r="L34" i="38" s="1"/>
  <c r="Q21" i="35"/>
  <c r="D35" i="38" l="1"/>
  <c r="BB34" i="38"/>
  <c r="K35" i="39"/>
  <c r="N35" i="39" s="1"/>
  <c r="AI14" i="39" s="1"/>
  <c r="AE34" i="38"/>
  <c r="Q35" i="39" l="1"/>
  <c r="H45" i="35"/>
  <c r="R17" i="35" s="1"/>
  <c r="R124" i="5" s="1"/>
  <c r="BD34" i="38"/>
  <c r="BE34" i="38" s="1"/>
  <c r="AJ34" i="38" s="1"/>
  <c r="AH34" i="38" s="1"/>
  <c r="AL34" i="38" s="1"/>
  <c r="AM34" i="38" s="1"/>
  <c r="L35" i="39"/>
  <c r="O35" i="39" s="1"/>
  <c r="R19" i="5" s="1"/>
  <c r="R18" i="5" s="1"/>
  <c r="R178" i="5" l="1"/>
  <c r="R235" i="5" s="1"/>
  <c r="BC34" i="38"/>
  <c r="Q34" i="38" s="1"/>
  <c r="R199" i="5" l="1"/>
  <c r="S34" i="38"/>
  <c r="AQ34" i="38" s="1"/>
  <c r="O34" i="38"/>
  <c r="W35" i="38" l="1"/>
  <c r="S17" i="5" s="1"/>
  <c r="S15" i="5" s="1"/>
  <c r="S16" i="5" s="1"/>
  <c r="U35" i="38"/>
  <c r="R210" i="5"/>
  <c r="R206" i="5" s="1"/>
  <c r="AZ35" i="38" l="1"/>
  <c r="BA35" i="38" s="1"/>
  <c r="Y35" i="38"/>
  <c r="E74" i="39" s="1"/>
  <c r="G36" i="39" l="1"/>
  <c r="I36" i="39" s="1"/>
  <c r="J36" i="39" s="1"/>
  <c r="AJ15" i="39"/>
  <c r="T20" i="5" s="1"/>
  <c r="Z60" i="39"/>
  <c r="AA35" i="38"/>
  <c r="J35" i="38" s="1"/>
  <c r="L35" i="38" s="1"/>
  <c r="D36" i="38" s="1"/>
  <c r="R21" i="35"/>
  <c r="AE35" i="38" l="1"/>
  <c r="BD35" i="38" s="1"/>
  <c r="BB35" i="38"/>
  <c r="K36" i="39"/>
  <c r="N36" i="39" s="1"/>
  <c r="AJ14" i="39" s="1"/>
  <c r="BE35" i="38" l="1"/>
  <c r="AJ35" i="38" s="1"/>
  <c r="AH35" i="38" s="1"/>
  <c r="AL35" i="38" s="1"/>
  <c r="AM35" i="38" s="1"/>
  <c r="Q36" i="39"/>
  <c r="H46" i="35"/>
  <c r="S17" i="35" s="1"/>
  <c r="S124" i="5" s="1"/>
  <c r="L36" i="39"/>
  <c r="O36" i="39" s="1"/>
  <c r="S19" i="5" s="1"/>
  <c r="S18" i="5" s="1"/>
  <c r="BC35" i="38"/>
  <c r="Q35" i="38" s="1"/>
  <c r="S178" i="5" l="1"/>
  <c r="S235" i="5" s="1"/>
  <c r="O35" i="38"/>
  <c r="S35" i="38"/>
  <c r="AQ35" i="38" s="1"/>
  <c r="W36" i="38" l="1"/>
  <c r="T17" i="5" s="1"/>
  <c r="T15" i="5" s="1"/>
  <c r="T16" i="5" s="1"/>
  <c r="U36" i="38"/>
  <c r="S199" i="5"/>
  <c r="S210" i="5"/>
  <c r="S206" i="5" s="1"/>
  <c r="AZ36" i="38" l="1"/>
  <c r="BA36" i="38" s="1"/>
  <c r="Y36" i="38"/>
  <c r="E75" i="39" s="1"/>
  <c r="G37" i="39" l="1"/>
  <c r="I37" i="39" s="1"/>
  <c r="J37" i="39" s="1"/>
  <c r="AK15" i="39"/>
  <c r="AA60" i="39"/>
  <c r="S21" i="35"/>
  <c r="AA36" i="38"/>
  <c r="J36" i="38" s="1"/>
  <c r="L36" i="38" s="1"/>
  <c r="AE36" i="38" l="1"/>
  <c r="BD36" i="38" s="1"/>
  <c r="D37" i="38"/>
  <c r="BB36" i="38"/>
  <c r="K37" i="39"/>
  <c r="N37" i="39" s="1"/>
  <c r="AK14" i="39" s="1"/>
  <c r="BC36" i="38" l="1"/>
  <c r="Q36" i="38" s="1"/>
  <c r="O36" i="38" s="1"/>
  <c r="Q37" i="39"/>
  <c r="H47" i="35"/>
  <c r="T17" i="35" s="1"/>
  <c r="T124" i="5" s="1"/>
  <c r="L37" i="39"/>
  <c r="O37" i="39" s="1"/>
  <c r="T19" i="5" s="1"/>
  <c r="T18" i="5" s="1"/>
  <c r="BE36" i="38"/>
  <c r="AJ36" i="38" s="1"/>
  <c r="AH36" i="38" s="1"/>
  <c r="AL36" i="38" s="1"/>
  <c r="AM36" i="38" s="1"/>
  <c r="T178" i="5" l="1"/>
  <c r="T235" i="5" s="1"/>
  <c r="S36" i="38"/>
  <c r="AQ36" i="38" s="1"/>
  <c r="E235" i="5" l="1"/>
  <c r="G7" i="22" s="1"/>
  <c r="W37" i="38"/>
  <c r="U37" i="38"/>
  <c r="T199" i="5"/>
  <c r="T210" i="5"/>
  <c r="T206" i="5" s="1"/>
  <c r="AZ37" i="38" l="1"/>
  <c r="BA37" i="38" s="1"/>
  <c r="Y37" i="38"/>
  <c r="AA37" i="38" l="1"/>
  <c r="J37" i="38" s="1"/>
  <c r="L37" i="38" s="1"/>
  <c r="D38" i="38" s="1"/>
  <c r="T21" i="35"/>
  <c r="BB37" i="38" l="1"/>
  <c r="AE37" i="38"/>
  <c r="BD37" i="38" s="1"/>
  <c r="BE37" i="38" l="1"/>
  <c r="AJ37" i="38" s="1"/>
  <c r="AH37" i="38" s="1"/>
  <c r="AL37" i="38" s="1"/>
  <c r="AM37" i="38" s="1"/>
  <c r="BC37" i="38"/>
  <c r="Q37" i="38" s="1"/>
  <c r="S37" i="38" l="1"/>
  <c r="AQ37" i="38" s="1"/>
  <c r="U38" i="38" s="1"/>
  <c r="O37" i="38"/>
  <c r="W38" i="38" l="1"/>
  <c r="Y38" i="38" s="1"/>
  <c r="AA38" i="38" s="1"/>
  <c r="J38" i="38" s="1"/>
  <c r="L38" i="38" s="1"/>
  <c r="AZ38" i="38" l="1"/>
  <c r="BA38" i="38" s="1"/>
  <c r="BB38" i="38"/>
  <c r="D39" i="38"/>
  <c r="AE38" i="38"/>
  <c r="BD38" i="38" l="1"/>
  <c r="BE38" i="38" s="1"/>
  <c r="AJ38" i="38" s="1"/>
  <c r="AH38" i="38" s="1"/>
  <c r="AL38" i="38" s="1"/>
  <c r="AM38" i="38" s="1"/>
  <c r="BC38" i="38" l="1"/>
  <c r="Q38" i="38" s="1"/>
  <c r="S38" i="38" s="1"/>
  <c r="AQ38" i="38" s="1"/>
  <c r="W39" i="38" l="1"/>
  <c r="U39" i="38"/>
  <c r="O38" i="38"/>
  <c r="AZ39" i="38" l="1"/>
  <c r="BA39" i="38" s="1"/>
  <c r="Y39" i="38"/>
  <c r="AA39" i="38" l="1"/>
  <c r="J39" i="38" s="1"/>
  <c r="L39" i="38" s="1"/>
  <c r="AE39" i="38" l="1"/>
  <c r="BD39" i="38" s="1"/>
  <c r="BB39" i="38"/>
  <c r="D40" i="38"/>
  <c r="BE39" i="38" l="1"/>
  <c r="AJ39" i="38" s="1"/>
  <c r="AH39" i="38" s="1"/>
  <c r="AL39" i="38" s="1"/>
  <c r="AM39" i="38" s="1"/>
  <c r="BC39" i="38"/>
  <c r="Q39" i="38" s="1"/>
  <c r="S39" i="38" l="1"/>
  <c r="AQ39" i="38" s="1"/>
  <c r="O39" i="38"/>
  <c r="W40" i="38" l="1"/>
  <c r="Y40" i="38" s="1"/>
  <c r="U40" i="38"/>
  <c r="AZ40" i="38" l="1"/>
  <c r="BA40" i="38" s="1"/>
  <c r="AA40" i="38"/>
  <c r="AE40" i="38" l="1"/>
  <c r="BD40" i="38" s="1"/>
  <c r="J40" i="38"/>
  <c r="L40" i="38" s="1"/>
  <c r="BB40" i="38" l="1"/>
  <c r="BC40" i="38" s="1"/>
  <c r="Q40" i="38" s="1"/>
  <c r="D41" i="38"/>
  <c r="BE40" i="38" l="1"/>
  <c r="AJ40" i="38" s="1"/>
  <c r="AH40" i="38" s="1"/>
  <c r="AL40" i="38" s="1"/>
  <c r="AM40" i="38" s="1"/>
  <c r="O40" i="38"/>
  <c r="S40" i="38"/>
  <c r="AQ40" i="38" l="1"/>
  <c r="W41" i="38" l="1"/>
  <c r="Y41" i="38" s="1"/>
  <c r="AA41" i="38" s="1"/>
  <c r="J41" i="38" s="1"/>
  <c r="L41" i="38" s="1"/>
  <c r="U41" i="38"/>
  <c r="AZ41" i="38" l="1"/>
  <c r="BA41" i="38" s="1"/>
  <c r="BB41" i="38"/>
  <c r="D42" i="38"/>
  <c r="AE41" i="38"/>
  <c r="BD41" i="38" s="1"/>
  <c r="BE41" i="38" l="1"/>
  <c r="AJ41" i="38" s="1"/>
  <c r="AH41" i="38" s="1"/>
  <c r="AL41" i="38" s="1"/>
  <c r="AM41" i="38" s="1"/>
  <c r="BC41" i="38"/>
  <c r="Q41" i="38" s="1"/>
  <c r="S41" i="38" l="1"/>
  <c r="AQ41" i="38" s="1"/>
  <c r="O41" i="38"/>
  <c r="W42" i="38" l="1"/>
  <c r="Y42" i="38" s="1"/>
  <c r="U42" i="38"/>
  <c r="AZ42" i="38" l="1"/>
  <c r="BA42" i="38" s="1"/>
  <c r="AA42" i="38"/>
  <c r="J42" i="38" l="1"/>
  <c r="L42" i="38" s="1"/>
  <c r="D43" i="38" s="1"/>
  <c r="AE42" i="38"/>
  <c r="BD42" i="38" s="1"/>
  <c r="BB42" i="38" l="1"/>
  <c r="BC42" i="38" s="1"/>
  <c r="Q42" i="38" s="1"/>
  <c r="S42" i="38" l="1"/>
  <c r="O42" i="38"/>
  <c r="BE42" i="38"/>
  <c r="AJ42" i="38" s="1"/>
  <c r="AH42" i="38" s="1"/>
  <c r="AL42" i="38" s="1"/>
  <c r="AM42" i="38" s="1"/>
  <c r="AQ42" i="38" l="1"/>
  <c r="U43" i="38" s="1"/>
  <c r="W43" i="38" l="1"/>
  <c r="Y43" i="38" s="1"/>
  <c r="AZ43" i="38" l="1"/>
  <c r="BA43" i="38" s="1"/>
  <c r="AA43" i="38"/>
  <c r="AE43" i="38" s="1"/>
  <c r="J43" i="38" l="1"/>
  <c r="L43" i="38" s="1"/>
  <c r="BD43" i="38"/>
  <c r="BB43" i="38" l="1"/>
  <c r="BC43" i="38" s="1"/>
  <c r="Q43" i="38" s="1"/>
  <c r="D44" i="38"/>
  <c r="S43" i="38" l="1"/>
  <c r="O43" i="38"/>
  <c r="BE43" i="38"/>
  <c r="AJ43" i="38" s="1"/>
  <c r="AH43" i="38" s="1"/>
  <c r="AL43" i="38" l="1"/>
  <c r="AM43" i="38" l="1"/>
  <c r="AQ43" i="38" s="1"/>
  <c r="W44" i="38" l="1"/>
  <c r="Y44" i="38" s="1"/>
  <c r="U44" i="38"/>
  <c r="AZ44" i="38" l="1"/>
  <c r="BA44" i="38" s="1"/>
  <c r="AA44" i="38"/>
  <c r="J44" i="38" s="1"/>
  <c r="L44" i="38" s="1"/>
  <c r="BB44" i="38" s="1"/>
  <c r="AE44" i="38" l="1"/>
  <c r="BD44" i="38" s="1"/>
  <c r="BE44" i="38" s="1"/>
  <c r="AJ44" i="38" s="1"/>
  <c r="AH44" i="38" s="1"/>
  <c r="AL44" i="38" s="1"/>
  <c r="AM44" i="38" s="1"/>
  <c r="D45" i="38"/>
  <c r="BC44" i="38" l="1"/>
  <c r="Q44" i="38" s="1"/>
  <c r="O44" i="38" s="1"/>
  <c r="S44" i="38" l="1"/>
  <c r="AQ44" i="38" s="1"/>
  <c r="W45" i="38" l="1"/>
  <c r="Y45" i="38" s="1"/>
  <c r="U45" i="38"/>
  <c r="AZ45" i="38" l="1"/>
  <c r="BA45" i="38" s="1"/>
  <c r="AA45" i="38"/>
  <c r="J45" i="38" s="1"/>
  <c r="L45" i="38" s="1"/>
  <c r="BB45" i="38" s="1"/>
  <c r="AE45" i="38" l="1"/>
  <c r="BD45" i="38" s="1"/>
  <c r="D46" i="38"/>
  <c r="BE45" i="38" l="1"/>
  <c r="AJ45" i="38" s="1"/>
  <c r="AH45" i="38" s="1"/>
  <c r="AL45" i="38" s="1"/>
  <c r="AM45" i="38" s="1"/>
  <c r="BC45" i="38"/>
  <c r="Q45" i="38" s="1"/>
  <c r="S45" i="38" s="1"/>
  <c r="O45" i="38" l="1"/>
  <c r="AQ45" i="38"/>
  <c r="W46" i="38" l="1"/>
  <c r="Y46" i="38" s="1"/>
  <c r="U46" i="38"/>
  <c r="AZ46" i="38" l="1"/>
  <c r="BA46" i="38" s="1"/>
  <c r="AA46" i="38"/>
  <c r="J46" i="38" s="1"/>
  <c r="L46" i="38" s="1"/>
  <c r="BB46" i="38" l="1"/>
  <c r="D47" i="38"/>
  <c r="AE46" i="38"/>
  <c r="BD46" i="38" l="1"/>
  <c r="BE46" i="38" s="1"/>
  <c r="AJ46" i="38" s="1"/>
  <c r="AH46" i="38" s="1"/>
  <c r="AL46" i="38" s="1"/>
  <c r="AM46" i="38" s="1"/>
  <c r="BC46" i="38" l="1"/>
  <c r="Q46" i="38" s="1"/>
  <c r="O46" i="38" s="1"/>
  <c r="S46" i="38" l="1"/>
  <c r="AQ46" i="38" s="1"/>
  <c r="W47" i="38" l="1"/>
  <c r="Y47" i="38" s="1"/>
  <c r="U47" i="38"/>
  <c r="AZ47" i="38" l="1"/>
  <c r="BA47" i="38" s="1"/>
  <c r="AA47" i="38"/>
  <c r="J47" i="38" s="1"/>
  <c r="L47" i="38" s="1"/>
  <c r="D48" i="38" s="1"/>
  <c r="AE47" i="38" l="1"/>
  <c r="BD47" i="38" s="1"/>
  <c r="BB47" i="38"/>
  <c r="BE47" i="38" l="1"/>
  <c r="AJ47" i="38" s="1"/>
  <c r="AH47" i="38" s="1"/>
  <c r="AL47" i="38" s="1"/>
  <c r="AM47" i="38" s="1"/>
  <c r="BC47" i="38"/>
  <c r="Q47" i="38" s="1"/>
  <c r="O47" i="38" l="1"/>
  <c r="S47" i="38"/>
  <c r="AQ47" i="38" s="1"/>
  <c r="W48" i="38" l="1"/>
  <c r="Y48" i="38" s="1"/>
  <c r="U48" i="38"/>
  <c r="AZ48" i="38" l="1"/>
  <c r="BA48" i="38" s="1"/>
  <c r="AA48" i="38"/>
  <c r="J48" i="38" s="1"/>
  <c r="L48" i="38" s="1"/>
  <c r="AE48" i="38" l="1"/>
  <c r="BB48" i="38"/>
  <c r="D49" i="38"/>
  <c r="BD48" i="38" l="1"/>
  <c r="BE48" i="38" s="1"/>
  <c r="AJ48" i="38" s="1"/>
  <c r="AH48" i="38" s="1"/>
  <c r="AL48" i="38" s="1"/>
  <c r="AM48" i="38" s="1"/>
  <c r="BC48" i="38" l="1"/>
  <c r="Q48" i="38" s="1"/>
  <c r="O48" i="38" l="1"/>
  <c r="S48" i="38"/>
  <c r="AQ48" i="38" s="1"/>
  <c r="W49" i="38" l="1"/>
  <c r="Y49" i="38" s="1"/>
  <c r="U49" i="38"/>
  <c r="AZ49" i="38" l="1"/>
  <c r="BA49" i="38" s="1"/>
  <c r="AA49" i="38"/>
  <c r="J49" i="38" s="1"/>
  <c r="L49" i="38" s="1"/>
  <c r="D50" i="38" l="1"/>
  <c r="BB49" i="38"/>
  <c r="AE49" i="38"/>
  <c r="BD49" i="38" l="1"/>
  <c r="BE49" i="38" s="1"/>
  <c r="AJ49" i="38" s="1"/>
  <c r="AH49" i="38" s="1"/>
  <c r="AL49" i="38" s="1"/>
  <c r="AM49" i="38" s="1"/>
  <c r="BC49" i="38" l="1"/>
  <c r="Q49" i="38" s="1"/>
  <c r="O49" i="38" s="1"/>
  <c r="S49" i="38" l="1"/>
  <c r="AQ49" i="38" s="1"/>
  <c r="W50" i="38" l="1"/>
  <c r="Y50" i="38" s="1"/>
  <c r="AA50" i="38" s="1"/>
  <c r="J50" i="38" s="1"/>
  <c r="L50" i="38" s="1"/>
  <c r="U50" i="38"/>
  <c r="AZ50" i="38" l="1"/>
  <c r="BA50" i="38" s="1"/>
  <c r="AE50" i="38"/>
  <c r="BB50" i="38"/>
  <c r="D51" i="38"/>
  <c r="BD50" i="38" l="1"/>
  <c r="BE50" i="38" s="1"/>
  <c r="AJ50" i="38" s="1"/>
  <c r="AH50" i="38" s="1"/>
  <c r="AL50" i="38" s="1"/>
  <c r="AM50" i="38" s="1"/>
  <c r="BC50" i="38" l="1"/>
  <c r="Q50" i="38" s="1"/>
  <c r="O50" i="38" l="1"/>
  <c r="S50" i="38"/>
  <c r="AQ50" i="38" s="1"/>
  <c r="W51" i="38" l="1"/>
  <c r="Y51" i="38" s="1"/>
  <c r="Y54" i="38" s="1"/>
  <c r="U51" i="38"/>
  <c r="W54" i="38" l="1"/>
  <c r="AZ51" i="38"/>
  <c r="BA51" i="38" s="1"/>
  <c r="U54" i="38"/>
  <c r="AA51" i="38"/>
  <c r="J51" i="38" l="1"/>
  <c r="AA54" i="38"/>
  <c r="AE51" i="38"/>
  <c r="BD51" i="38" l="1"/>
  <c r="J54" i="38"/>
  <c r="L51" i="38"/>
  <c r="BB51" i="38" l="1"/>
  <c r="BC51" i="38" s="1"/>
  <c r="Q51" i="38" s="1"/>
  <c r="D52" i="38"/>
  <c r="BE51" i="38" l="1"/>
  <c r="AJ51" i="38" s="1"/>
  <c r="AH51" i="38" s="1"/>
  <c r="AH54" i="38" s="1"/>
  <c r="S51" i="38"/>
  <c r="O51" i="38"/>
  <c r="O54" i="38" s="1"/>
  <c r="AL51" i="38" l="1"/>
  <c r="AL54" i="38" s="1"/>
  <c r="AM51" i="38" l="1"/>
  <c r="AQ51" i="38" s="1"/>
  <c r="W52" i="38" l="1"/>
  <c r="Y52" i="38" s="1"/>
  <c r="U52" i="38"/>
  <c r="AZ52" i="38" l="1"/>
  <c r="BA52" i="38" s="1"/>
  <c r="AA52" i="38"/>
  <c r="J52" i="38" s="1"/>
  <c r="L52" i="38" s="1"/>
  <c r="BB52" i="38" s="1"/>
  <c r="AE52" i="38" l="1"/>
  <c r="BD52" i="38" s="1"/>
  <c r="BE52" i="38" s="1"/>
  <c r="AJ52" i="38" s="1"/>
  <c r="AH52" i="38" s="1"/>
  <c r="AL52" i="38" s="1"/>
  <c r="AM52" i="38" s="1"/>
  <c r="BC52" i="38" l="1"/>
  <c r="Q52" i="38" s="1"/>
  <c r="S52" i="38" s="1"/>
  <c r="AQ52" i="38" s="1"/>
  <c r="O52" i="38" l="1"/>
  <c r="F60" i="5" l="1"/>
  <c r="F64" i="5" s="1"/>
  <c r="F87" i="5" s="1"/>
  <c r="F86" i="5" l="1"/>
  <c r="F88" i="5" s="1"/>
  <c r="F66" i="5"/>
  <c r="F184" i="5" s="1"/>
  <c r="F197" i="5" l="1"/>
  <c r="F199" i="5" s="1"/>
  <c r="F239" i="5"/>
  <c r="E239" i="5" l="1"/>
  <c r="G5" i="22" s="1"/>
  <c r="E240" i="5"/>
  <c r="F217" i="5"/>
  <c r="F205" i="5"/>
  <c r="F218" i="5"/>
  <c r="F208" i="5" l="1"/>
  <c r="F213" i="5"/>
  <c r="G205" i="5"/>
  <c r="H205" i="5" l="1"/>
  <c r="G208" i="5"/>
  <c r="G213" i="5"/>
  <c r="F209" i="5"/>
  <c r="F231" i="5"/>
  <c r="G231" i="5" l="1"/>
  <c r="G209" i="5"/>
  <c r="H213" i="5"/>
  <c r="H208" i="5"/>
  <c r="I205" i="5"/>
  <c r="I213" i="5" l="1"/>
  <c r="J205" i="5"/>
  <c r="I208" i="5"/>
  <c r="H209" i="5"/>
  <c r="H231" i="5"/>
  <c r="J213" i="5" l="1"/>
  <c r="J208" i="5"/>
  <c r="K205" i="5"/>
  <c r="I209" i="5"/>
  <c r="I231" i="5"/>
  <c r="K208" i="5" l="1"/>
  <c r="K213" i="5"/>
  <c r="L205" i="5"/>
  <c r="J209" i="5"/>
  <c r="J231" i="5"/>
  <c r="M205" i="5" l="1"/>
  <c r="L213" i="5"/>
  <c r="L208" i="5"/>
  <c r="K231" i="5"/>
  <c r="K209" i="5"/>
  <c r="L209" i="5" l="1"/>
  <c r="L231" i="5"/>
  <c r="M213" i="5"/>
  <c r="N205" i="5"/>
  <c r="M208" i="5"/>
  <c r="N208" i="5" l="1"/>
  <c r="O205" i="5"/>
  <c r="N213" i="5"/>
  <c r="M231" i="5"/>
  <c r="M209" i="5"/>
  <c r="O208" i="5" l="1"/>
  <c r="P205" i="5"/>
  <c r="O213" i="5"/>
  <c r="N209" i="5"/>
  <c r="N231" i="5"/>
  <c r="P213" i="5" l="1"/>
  <c r="P208" i="5"/>
  <c r="Q205" i="5"/>
  <c r="O231" i="5"/>
  <c r="O209" i="5"/>
  <c r="P231" i="5" l="1"/>
  <c r="P209" i="5"/>
  <c r="Q208" i="5"/>
  <c r="R205" i="5"/>
  <c r="Q213" i="5"/>
  <c r="R208" i="5" l="1"/>
  <c r="S205" i="5"/>
  <c r="R213" i="5"/>
  <c r="Q209" i="5"/>
  <c r="Q231" i="5"/>
  <c r="S208" i="5" l="1"/>
  <c r="T205" i="5"/>
  <c r="S213" i="5"/>
  <c r="R209" i="5"/>
  <c r="R231" i="5"/>
  <c r="G57" i="22" l="1"/>
  <c r="T208" i="5"/>
  <c r="B131" i="22" s="1"/>
  <c r="T213" i="5"/>
  <c r="S209" i="5"/>
  <c r="S231" i="5"/>
  <c r="T209" i="5" l="1"/>
  <c r="T231" i="5"/>
  <c r="G58" i="22"/>
  <c r="G56" i="22" s="1"/>
</calcChain>
</file>

<file path=xl/comments1.xml><?xml version="1.0" encoding="utf-8"?>
<comments xmlns="http://schemas.openxmlformats.org/spreadsheetml/2006/main">
  <authors>
    <author>David W Herbert (DOR)</author>
  </authors>
  <commentList>
    <comment ref="B100" authorId="0">
      <text>
        <r>
          <rPr>
            <b/>
            <sz val="9"/>
            <color indexed="81"/>
            <rFont val="Tahoma"/>
            <family val="2"/>
          </rPr>
          <t>David W Herbert (DOR):</t>
        </r>
        <r>
          <rPr>
            <sz val="9"/>
            <color indexed="81"/>
            <rFont val="Tahoma"/>
            <family val="2"/>
          </rPr>
          <t xml:space="preserve">
Interacts with AKLNG to free up more LNG for export, when both enabled profits increase </t>
        </r>
      </text>
    </comment>
  </commentList>
</comments>
</file>

<file path=xl/comments2.xml><?xml version="1.0" encoding="utf-8"?>
<comments xmlns="http://schemas.openxmlformats.org/spreadsheetml/2006/main">
  <authors>
    <author>Herbert, David W (DOR)</author>
    <author>David W Herbert (DOR)</author>
    <author>Perry, Wyatt O (DOR)</author>
    <author>Harper, Timothy E (DOR)</author>
  </authors>
  <commentList>
    <comment ref="C13" authorId="0">
      <text>
        <r>
          <rPr>
            <b/>
            <sz val="9"/>
            <color indexed="81"/>
            <rFont val="Tahoma"/>
            <family val="2"/>
          </rPr>
          <t>Herbert, David W (DOR):</t>
        </r>
        <r>
          <rPr>
            <sz val="9"/>
            <color indexed="81"/>
            <rFont val="Tahoma"/>
            <family val="2"/>
          </rPr>
          <t xml:space="preserve">
Subtracts from appropriations</t>
        </r>
      </text>
    </comment>
    <comment ref="C26" authorId="1">
      <text>
        <r>
          <rPr>
            <b/>
            <sz val="9"/>
            <color indexed="81"/>
            <rFont val="Tahoma"/>
            <family val="2"/>
          </rPr>
          <t>David W Herbert (DOR):</t>
        </r>
        <r>
          <rPr>
            <sz val="9"/>
            <color indexed="81"/>
            <rFont val="Tahoma"/>
            <family val="2"/>
          </rPr>
          <t xml:space="preserve">
Borrow 25 billion
expected rate of return 8.6%
Cost of capital 4%
base case output from Monte Carlo simulation using historical data</t>
        </r>
      </text>
    </comment>
    <comment ref="B28" authorId="2">
      <text>
        <r>
          <rPr>
            <b/>
            <sz val="9"/>
            <color indexed="81"/>
            <rFont val="Tahoma"/>
            <family val="2"/>
          </rPr>
          <t>Perry, Wyatt O (DOR): 
3% * 1300/1150 to show the difference between probabilistic returns and deterministic</t>
        </r>
      </text>
    </comment>
    <comment ref="C154" authorId="0">
      <text>
        <r>
          <rPr>
            <b/>
            <sz val="9"/>
            <color indexed="81"/>
            <rFont val="Tahoma"/>
            <family val="2"/>
          </rPr>
          <t>Herbert, David W (DOR):</t>
        </r>
        <r>
          <rPr>
            <sz val="9"/>
            <color indexed="81"/>
            <rFont val="Tahoma"/>
            <family val="2"/>
          </rPr>
          <t xml:space="preserve">
Subtracts from appropriations</t>
        </r>
      </text>
    </comment>
    <comment ref="C192" authorId="3">
      <text>
        <r>
          <rPr>
            <b/>
            <sz val="9"/>
            <color indexed="81"/>
            <rFont val="Tahoma"/>
            <family val="2"/>
          </rPr>
          <t>Harper, Timothy E (DOR):</t>
        </r>
        <r>
          <rPr>
            <sz val="9"/>
            <color indexed="81"/>
            <rFont val="Tahoma"/>
            <family val="2"/>
          </rPr>
          <t xml:space="preserve">
P70 of the project is $890.  State chunk is ~$300 million.  Federal contributions will total $227 million.</t>
        </r>
      </text>
    </comment>
    <comment ref="C206" authorId="1">
      <text>
        <r>
          <rPr>
            <b/>
            <sz val="9"/>
            <color indexed="81"/>
            <rFont val="Tahoma"/>
            <family val="2"/>
          </rPr>
          <t>David W Herbert (DOR):</t>
        </r>
        <r>
          <rPr>
            <sz val="9"/>
            <color indexed="81"/>
            <rFont val="Tahoma"/>
            <family val="2"/>
          </rPr>
          <t xml:space="preserve">
Assuming no royalty contributions after FY25</t>
        </r>
      </text>
    </comment>
  </commentList>
</comments>
</file>

<file path=xl/comments3.xml><?xml version="1.0" encoding="utf-8"?>
<comments xmlns="http://schemas.openxmlformats.org/spreadsheetml/2006/main">
  <authors>
    <author>Julie Hamilton</author>
    <author>Jim Kelly</author>
    <author>Harper, Timothy E (DOR)</author>
    <author>Dir of Finance</author>
    <author>John Seagren</author>
  </authors>
  <commentList>
    <comment ref="W8" authorId="0">
      <text>
        <r>
          <rPr>
            <b/>
            <sz val="8"/>
            <color indexed="81"/>
            <rFont val="Tahoma"/>
            <family val="2"/>
          </rPr>
          <t>Julie Hamilton:</t>
        </r>
        <r>
          <rPr>
            <sz val="8"/>
            <color indexed="81"/>
            <rFont val="Tahoma"/>
            <family val="2"/>
          </rPr>
          <t xml:space="preserve">
This is accounting net income, minus UGL, minus all earnings on AmHess (inflation amount and over inflation)</t>
        </r>
      </text>
    </comment>
    <comment ref="F10" authorId="0">
      <text>
        <r>
          <rPr>
            <b/>
            <sz val="8"/>
            <color indexed="81"/>
            <rFont val="Tahoma"/>
            <family val="2"/>
          </rPr>
          <t>Julie Hamilton:</t>
        </r>
        <r>
          <rPr>
            <sz val="8"/>
            <color indexed="81"/>
            <rFont val="Tahoma"/>
            <family val="2"/>
          </rPr>
          <t xml:space="preserve">
Includes special appropriations and AmHess settlement earnings above inflation.</t>
        </r>
      </text>
    </comment>
    <comment ref="U11" authorId="1">
      <text>
        <r>
          <rPr>
            <b/>
            <sz val="8"/>
            <color indexed="81"/>
            <rFont val="Tahoma"/>
            <family val="2"/>
          </rPr>
          <t>Jim Kelly:</t>
        </r>
        <r>
          <rPr>
            <sz val="8"/>
            <color indexed="81"/>
            <rFont val="Tahoma"/>
            <family val="2"/>
          </rPr>
          <t xml:space="preserve">
This is statutory net income plus unrealized gains plus settlement earnings.</t>
        </r>
      </text>
    </comment>
    <comment ref="AL11" authorId="1">
      <text>
        <r>
          <rPr>
            <b/>
            <sz val="8"/>
            <color indexed="81"/>
            <rFont val="Tahoma"/>
            <family val="2"/>
          </rPr>
          <t>Jim Kelly:</t>
        </r>
        <r>
          <rPr>
            <sz val="8"/>
            <color indexed="81"/>
            <rFont val="Tahoma"/>
            <family val="2"/>
          </rPr>
          <t xml:space="preserve">
This number is the sum of all net income surplus to PFDs, General Fund appropriations  and inflation-proofing since inception.</t>
        </r>
      </text>
    </comment>
    <comment ref="L12" authorId="0">
      <text>
        <r>
          <rPr>
            <b/>
            <sz val="8"/>
            <color indexed="81"/>
            <rFont val="Tahoma"/>
            <family val="2"/>
          </rPr>
          <t>Julie Hamilton:</t>
        </r>
        <r>
          <rPr>
            <sz val="8"/>
            <color indexed="81"/>
            <rFont val="Tahoma"/>
            <family val="2"/>
          </rPr>
          <t xml:space="preserve">
Less 1 for rounding
</t>
        </r>
      </text>
    </comment>
    <comment ref="O12" authorId="0">
      <text>
        <r>
          <rPr>
            <b/>
            <sz val="8"/>
            <color indexed="81"/>
            <rFont val="Tahoma"/>
            <family val="2"/>
          </rPr>
          <t>Julie Hamilton:</t>
        </r>
        <r>
          <rPr>
            <sz val="8"/>
            <color indexed="81"/>
            <rFont val="Tahoma"/>
            <family val="2"/>
          </rPr>
          <t xml:space="preserve">
Added 1 to compensate for rounding error.</t>
        </r>
      </text>
    </comment>
    <comment ref="BE12" authorId="2">
      <text>
        <r>
          <rPr>
            <b/>
            <sz val="9"/>
            <color indexed="81"/>
            <rFont val="Tahoma"/>
            <family val="2"/>
          </rPr>
          <t>Harper, Timothy E (DOR):</t>
        </r>
        <r>
          <rPr>
            <sz val="9"/>
            <color indexed="81"/>
            <rFont val="Tahoma"/>
            <family val="2"/>
          </rPr>
          <t xml:space="preserve">
Synthetic numbers.</t>
        </r>
      </text>
    </comment>
    <comment ref="AY15" authorId="3">
      <text>
        <r>
          <rPr>
            <b/>
            <sz val="8"/>
            <color indexed="81"/>
            <rFont val="Tahoma"/>
            <family val="2"/>
          </rPr>
          <t>Dir of Finance:</t>
        </r>
        <r>
          <rPr>
            <sz val="8"/>
            <color indexed="81"/>
            <rFont val="Tahoma"/>
            <family val="2"/>
          </rPr>
          <t xml:space="preserve">
From FY2005 forward, no inflation proofing on settlement funds.</t>
        </r>
      </text>
    </comment>
    <comment ref="AV20" authorId="0">
      <text>
        <r>
          <rPr>
            <b/>
            <sz val="8"/>
            <color indexed="81"/>
            <rFont val="Tahoma"/>
            <family val="2"/>
          </rPr>
          <t>Julie Hamilton:</t>
        </r>
        <r>
          <rPr>
            <sz val="8"/>
            <color indexed="81"/>
            <rFont val="Tahoma"/>
            <family val="2"/>
          </rPr>
          <t xml:space="preserve">
Use current year's budget appropriations.
</t>
        </r>
      </text>
    </comment>
    <comment ref="BE21" authorId="2">
      <text>
        <r>
          <rPr>
            <b/>
            <sz val="9"/>
            <color indexed="81"/>
            <rFont val="Tahoma"/>
            <family val="2"/>
          </rPr>
          <t>Harper, Timothy E (DOR):</t>
        </r>
        <r>
          <rPr>
            <sz val="9"/>
            <color indexed="81"/>
            <rFont val="Tahoma"/>
            <family val="2"/>
          </rPr>
          <t xml:space="preserve">
Not an actual, but with 3/4 of year done it is close enough.</t>
        </r>
      </text>
    </comment>
    <comment ref="Y23" authorId="4">
      <text>
        <r>
          <rPr>
            <b/>
            <sz val="8"/>
            <color indexed="81"/>
            <rFont val="Tahoma"/>
            <family val="2"/>
          </rPr>
          <t>John Seagren:</t>
        </r>
        <r>
          <rPr>
            <sz val="8"/>
            <color indexed="81"/>
            <rFont val="Tahoma"/>
            <family val="2"/>
          </rPr>
          <t xml:space="preserve">
Updated formula to point to W23 not W25 on 2/28/14
</t>
        </r>
      </text>
    </comment>
    <comment ref="Y24" authorId="4">
      <text>
        <r>
          <rPr>
            <b/>
            <sz val="8"/>
            <color indexed="81"/>
            <rFont val="Tahoma"/>
            <family val="2"/>
          </rPr>
          <t>John Seagren:</t>
        </r>
        <r>
          <rPr>
            <sz val="8"/>
            <color indexed="81"/>
            <rFont val="Tahoma"/>
            <family val="2"/>
          </rPr>
          <t xml:space="preserve">
Updated formula to point to W23 not W25 on 2/28/14</t>
        </r>
      </text>
    </comment>
    <comment ref="Y25" authorId="4">
      <text>
        <r>
          <rPr>
            <b/>
            <sz val="8"/>
            <color indexed="81"/>
            <rFont val="Tahoma"/>
            <family val="2"/>
          </rPr>
          <t>John Seagren:</t>
        </r>
        <r>
          <rPr>
            <sz val="8"/>
            <color indexed="81"/>
            <rFont val="Tahoma"/>
            <family val="2"/>
          </rPr>
          <t xml:space="preserve">
Updated formula to point to W23 not W25 on
2/28/14
</t>
        </r>
      </text>
    </comment>
    <comment ref="H32" authorId="2">
      <text>
        <r>
          <rPr>
            <b/>
            <sz val="9"/>
            <color indexed="81"/>
            <rFont val="Tahoma"/>
            <family val="2"/>
          </rPr>
          <t>Harper, Timothy E (DOR):</t>
        </r>
        <r>
          <rPr>
            <sz val="9"/>
            <color indexed="81"/>
            <rFont val="Tahoma"/>
            <family val="2"/>
          </rPr>
          <t xml:space="preserve">
Assumes 6% decline rate and no new production.</t>
        </r>
      </text>
    </comment>
    <comment ref="R64" authorId="4">
      <text>
        <r>
          <rPr>
            <b/>
            <sz val="8"/>
            <color indexed="81"/>
            <rFont val="Tahoma"/>
            <family val="2"/>
          </rPr>
          <t>John Seagren:</t>
        </r>
        <r>
          <rPr>
            <sz val="8"/>
            <color indexed="81"/>
            <rFont val="Tahoma"/>
            <family val="2"/>
          </rPr>
          <t xml:space="preserve">
Callan capital market assumptions are provided at each February's Board meeting, and are incorporated into these projections at the beginning of the following fiscal year (July).</t>
        </r>
      </text>
    </comment>
  </commentList>
</comments>
</file>

<file path=xl/comments4.xml><?xml version="1.0" encoding="utf-8"?>
<comments xmlns="http://schemas.openxmlformats.org/spreadsheetml/2006/main">
  <authors>
    <author>William D. Bishop</author>
  </authors>
  <commentList>
    <comment ref="B10" authorId="0">
      <text>
        <r>
          <rPr>
            <b/>
            <sz val="9"/>
            <color indexed="81"/>
            <rFont val="Tahoma"/>
            <family val="2"/>
          </rPr>
          <t>William D. Bishop:</t>
        </r>
        <r>
          <rPr>
            <sz val="9"/>
            <color indexed="81"/>
            <rFont val="Tahoma"/>
            <family val="2"/>
          </rPr>
          <t xml:space="preserve">
2015 is the baseline year, so formulas in this column are not the same as other columns.</t>
        </r>
      </text>
    </comment>
    <comment ref="C47" authorId="0">
      <text>
        <r>
          <rPr>
            <b/>
            <sz val="9"/>
            <color indexed="81"/>
            <rFont val="Tahoma"/>
            <family val="2"/>
          </rPr>
          <t>William D. Bishop:</t>
        </r>
        <r>
          <rPr>
            <sz val="9"/>
            <color indexed="81"/>
            <rFont val="Tahoma"/>
            <family val="2"/>
          </rPr>
          <t xml:space="preserve">
Estimated as US growth because I don't have an Alaska-specific source yet</t>
        </r>
      </text>
    </comment>
  </commentList>
</comments>
</file>

<file path=xl/comments5.xml><?xml version="1.0" encoding="utf-8"?>
<comments xmlns="http://schemas.openxmlformats.org/spreadsheetml/2006/main">
  <authors>
    <author>William D. Bishop</author>
  </authors>
  <commentList>
    <comment ref="D15" authorId="0">
      <text>
        <r>
          <rPr>
            <b/>
            <sz val="9"/>
            <color indexed="81"/>
            <rFont val="Tahoma"/>
            <family val="2"/>
          </rPr>
          <t>William D. Bishop:</t>
        </r>
        <r>
          <rPr>
            <sz val="9"/>
            <color indexed="81"/>
            <rFont val="Tahoma"/>
            <family val="2"/>
          </rPr>
          <t xml:space="preserve">
Based on HB 165 (2005) which would have allowed a maximum of ~15 card rooms</t>
        </r>
      </text>
    </comment>
  </commentList>
</comments>
</file>

<file path=xl/comments6.xml><?xml version="1.0" encoding="utf-8"?>
<comments xmlns="http://schemas.openxmlformats.org/spreadsheetml/2006/main">
  <authors>
    <author>Perry, Wyatt O (DOR)</author>
  </authors>
  <commentList>
    <comment ref="F3" authorId="0">
      <text>
        <r>
          <rPr>
            <b/>
            <sz val="9"/>
            <color indexed="81"/>
            <rFont val="Tahoma"/>
            <family val="2"/>
          </rPr>
          <t>Perry, Wyatt O (DOR):</t>
        </r>
        <r>
          <rPr>
            <sz val="9"/>
            <color indexed="81"/>
            <rFont val="Tahoma"/>
            <family val="2"/>
          </rPr>
          <t xml:space="preserve">
The initial costs will be paid back to the state on top of the economic benefits</t>
        </r>
      </text>
    </comment>
    <comment ref="D4" authorId="0">
      <text>
        <r>
          <rPr>
            <b/>
            <sz val="9"/>
            <color indexed="81"/>
            <rFont val="Tahoma"/>
            <family val="2"/>
          </rPr>
          <t>Perry, Wyatt O (DOR):</t>
        </r>
        <r>
          <rPr>
            <sz val="9"/>
            <color indexed="81"/>
            <rFont val="Tahoma"/>
            <family val="2"/>
          </rPr>
          <t xml:space="preserve">
Currently AIDEA as 9.7 but it needs 6.8 more.  IF the project does not go through the 9.7 will be put back in GFUR</t>
        </r>
      </text>
    </comment>
  </commentList>
</comments>
</file>

<file path=xl/sharedStrings.xml><?xml version="1.0" encoding="utf-8"?>
<sst xmlns="http://schemas.openxmlformats.org/spreadsheetml/2006/main" count="1944" uniqueCount="983">
  <si>
    <t>FY 2014</t>
  </si>
  <si>
    <t>FY 2015</t>
  </si>
  <si>
    <t>FY 2016</t>
  </si>
  <si>
    <t>FY 2017</t>
  </si>
  <si>
    <t>FY 2018</t>
  </si>
  <si>
    <t>FY 2019</t>
  </si>
  <si>
    <t>FY 2020</t>
  </si>
  <si>
    <t>FY 2021</t>
  </si>
  <si>
    <t>FY 2022</t>
  </si>
  <si>
    <t>FY 2023</t>
  </si>
  <si>
    <t>Statutory Budget Reserve</t>
  </si>
  <si>
    <t>Reserve Balances ($ in Billions)</t>
  </si>
  <si>
    <t>Securitization Revenue</t>
  </si>
  <si>
    <t>Yes</t>
  </si>
  <si>
    <t>No</t>
  </si>
  <si>
    <t>Total Revenue</t>
  </si>
  <si>
    <t>AKLNG - 25% equity, TC, no buyback</t>
  </si>
  <si>
    <t>Additional Revenues</t>
  </si>
  <si>
    <t>Debt Funding %</t>
  </si>
  <si>
    <t>% Debt Funding</t>
  </si>
  <si>
    <t>PERS/TRS Arbitrage Bonds</t>
  </si>
  <si>
    <t>FY 2024</t>
  </si>
  <si>
    <t>AKLNG Revenues</t>
  </si>
  <si>
    <t>Securitization Rate</t>
  </si>
  <si>
    <t>Securitization Payment</t>
  </si>
  <si>
    <t>Knik Arm Bridge (reimbursable from NHS)</t>
  </si>
  <si>
    <t>Knik Arm Bridge - Appropriation Bonds</t>
  </si>
  <si>
    <t>Knik Arm Bridge</t>
  </si>
  <si>
    <t>Department of Revenue</t>
  </si>
  <si>
    <r>
      <t xml:space="preserve">Revenue -  Surplus / </t>
    </r>
    <r>
      <rPr>
        <sz val="11"/>
        <color rgb="FFFF0000"/>
        <rFont val="Calibri"/>
        <family val="2"/>
        <scheme val="minor"/>
      </rPr>
      <t>(Shortfall)</t>
    </r>
  </si>
  <si>
    <t>SOA Basic GFUR and Financial Reserve Impacts</t>
  </si>
  <si>
    <t>Constitutional Budget Reserve Fund</t>
  </si>
  <si>
    <t>Demand on Permanent Fund / New Taxes</t>
  </si>
  <si>
    <t>Total Large Project Cash Flows</t>
  </si>
  <si>
    <t>Large Project Cash Expenditures ($ in Billions)</t>
  </si>
  <si>
    <t>FY 2025</t>
  </si>
  <si>
    <t>FY 2026</t>
  </si>
  <si>
    <t>FY 2027</t>
  </si>
  <si>
    <t>FY 2028</t>
  </si>
  <si>
    <t>FY 2029</t>
  </si>
  <si>
    <t>FY 2030</t>
  </si>
  <si>
    <t>Financial</t>
  </si>
  <si>
    <t>Permanent Fund</t>
  </si>
  <si>
    <t>Securitization Bond Interest</t>
  </si>
  <si>
    <t>Sales Tax</t>
  </si>
  <si>
    <t>Sales Tax Rate</t>
  </si>
  <si>
    <t>Income Tax</t>
  </si>
  <si>
    <t>Income Tax Rate</t>
  </si>
  <si>
    <t>Lottery / Gaming</t>
  </si>
  <si>
    <t>State Lottery</t>
  </si>
  <si>
    <t>Spring 2015 Forecast</t>
  </si>
  <si>
    <t>School Tax</t>
  </si>
  <si>
    <t>Flat Rate per Working Person</t>
  </si>
  <si>
    <t>Rate</t>
  </si>
  <si>
    <t>Petroleum</t>
  </si>
  <si>
    <t>State Property Tax</t>
  </si>
  <si>
    <t>Health Care Provider Tax</t>
  </si>
  <si>
    <t>Child Support Fee</t>
  </si>
  <si>
    <t>Flat Tax for Non-CIT Petroleum Companies</t>
  </si>
  <si>
    <t>Flat Tax Based on 12.5% GVPP</t>
  </si>
  <si>
    <t>ANS AVG Production Tax before surcharge</t>
  </si>
  <si>
    <t>State of Alaska, Dept of Revenue</t>
  </si>
  <si>
    <t>State Lottery Income estimates</t>
  </si>
  <si>
    <t>Estimated Income</t>
  </si>
  <si>
    <t>Initial Value</t>
  </si>
  <si>
    <t xml:space="preserve">2013 US Census Data </t>
  </si>
  <si>
    <t>Annual Growth</t>
  </si>
  <si>
    <t>State</t>
  </si>
  <si>
    <t>Revenue</t>
  </si>
  <si>
    <t>Prizes</t>
  </si>
  <si>
    <t>Admin &amp; Ops costs</t>
  </si>
  <si>
    <t>Proceeds Available</t>
  </si>
  <si>
    <t>Population</t>
  </si>
  <si>
    <t>Per Capita income</t>
  </si>
  <si>
    <t>Assumptions:</t>
  </si>
  <si>
    <t>Wyoming</t>
  </si>
  <si>
    <t>N/A</t>
  </si>
  <si>
    <t>1. Separate Corporation or Commission set up within existing AK Corporation structure</t>
  </si>
  <si>
    <t>Vermont</t>
  </si>
  <si>
    <t>2. Start up costs financing through direct borrowings by Commission/Corporation .</t>
  </si>
  <si>
    <t>North Dakota</t>
  </si>
  <si>
    <t>3. Growth of 4% annually (last 3 year US growth of proceeds was closer to 5%)</t>
  </si>
  <si>
    <t>South Dakota</t>
  </si>
  <si>
    <t>4. Assumes only traditional lotteries without additional games</t>
  </si>
  <si>
    <t>Delaware</t>
  </si>
  <si>
    <t xml:space="preserve">5. 2 year start up/ debt repayment </t>
  </si>
  <si>
    <t>Montana</t>
  </si>
  <si>
    <t>Rhode Island</t>
  </si>
  <si>
    <t>New Hampshire</t>
  </si>
  <si>
    <t>Maine</t>
  </si>
  <si>
    <t>Idaho</t>
  </si>
  <si>
    <t>All US States</t>
  </si>
  <si>
    <t>Alaska</t>
  </si>
  <si>
    <t>lowest per capita income</t>
  </si>
  <si>
    <t>Average per capita income*</t>
  </si>
  <si>
    <t>lowest 10 states per capita income*</t>
  </si>
  <si>
    <t xml:space="preserve">*Data calculated based on 2013 US Census data </t>
  </si>
  <si>
    <t xml:space="preserve">Growth of 2010-2013 lottery proceeds-US </t>
  </si>
  <si>
    <t>2010 US proceeds</t>
  </si>
  <si>
    <t>2013 US proceeds</t>
  </si>
  <si>
    <t>3 year growth</t>
  </si>
  <si>
    <t>Base Case</t>
  </si>
  <si>
    <t>Fiscal Year</t>
  </si>
  <si>
    <t>FY16</t>
  </si>
  <si>
    <t>FY17</t>
  </si>
  <si>
    <t>FY18</t>
  </si>
  <si>
    <t>FY19</t>
  </si>
  <si>
    <t>FY20</t>
  </si>
  <si>
    <t>FY21</t>
  </si>
  <si>
    <t>FY22</t>
  </si>
  <si>
    <t>FY23</t>
  </si>
  <si>
    <t>FY24</t>
  </si>
  <si>
    <t>FY25</t>
  </si>
  <si>
    <t>FY26</t>
  </si>
  <si>
    <t>FY27</t>
  </si>
  <si>
    <t>FY28</t>
  </si>
  <si>
    <t>FY29</t>
  </si>
  <si>
    <t>FY30</t>
  </si>
  <si>
    <t>FY31</t>
  </si>
  <si>
    <t>High Case</t>
  </si>
  <si>
    <t>Low Case</t>
  </si>
  <si>
    <t>High Case (15% growth)</t>
  </si>
  <si>
    <t>HIGH projection</t>
  </si>
  <si>
    <t>HIGH</t>
  </si>
  <si>
    <t>Year</t>
  </si>
  <si>
    <t>All Occupations</t>
  </si>
  <si>
    <t>10 year growth</t>
  </si>
  <si>
    <t>(DOL) Base Case (10.8% growth)</t>
  </si>
  <si>
    <t>DoL projection</t>
  </si>
  <si>
    <t>BASE</t>
  </si>
  <si>
    <t>Low Case (5% growth)</t>
  </si>
  <si>
    <t>LOW projection</t>
  </si>
  <si>
    <t>LOW</t>
  </si>
  <si>
    <t>Dept of Labor - Alaska Occupational Forecast 2012 to 2022 - ALL OCCUPATIONS</t>
  </si>
  <si>
    <t>Employment</t>
  </si>
  <si>
    <t>Forecasted</t>
  </si>
  <si>
    <t>Percent</t>
  </si>
  <si>
    <t>Openings</t>
  </si>
  <si>
    <t>Replace-</t>
  </si>
  <si>
    <t>Change</t>
  </si>
  <si>
    <t>Growth</t>
  </si>
  <si>
    <t>ment</t>
  </si>
  <si>
    <t>Total</t>
  </si>
  <si>
    <t>http://live.laborstats.alaska.gov/occfcst/index.cfm#g00</t>
  </si>
  <si>
    <t>Sources of employment and wage data include:</t>
  </si>
  <si>
    <t>•</t>
  </si>
  <si>
    <t>Quarterly employer reports of wages and employment mandated by the State of Alaska’s unemployment insurance laws.</t>
  </si>
  <si>
    <t>Quarterly federal agency reports made in connection with the state-administered program for unemployed federal workers.</t>
  </si>
  <si>
    <t>Supplemental data gathered by Research and Analysis staff to augment the quarterly collection of employment and payroll data.</t>
  </si>
  <si>
    <t>Excluded groups:</t>
  </si>
  <si>
    <t>Certain segments of Alaska’s employed population are excluded from unemployment insurance coverage, and no ongoing method of collecting employment and payroll information is available for these individuals. Research and Analysis acknowledges the importance of this economic activity, but has no reliable method to augment the data published here. The largest segments of the employed population excluded from these data include:</t>
  </si>
  <si>
    <t>Self-employed individuals</t>
  </si>
  <si>
    <t>Fishers</t>
  </si>
  <si>
    <t>Unpaid family help</t>
  </si>
  <si>
    <t>Domestics</t>
  </si>
  <si>
    <t>Most individuals engaged in agriculture</t>
  </si>
  <si>
    <t>Cells shaded blue indicate adjustable inputs</t>
  </si>
  <si>
    <t>Mid</t>
  </si>
  <si>
    <t>High</t>
  </si>
  <si>
    <t>Low</t>
  </si>
  <si>
    <t>Estimates of revenue raised by an income tax over time</t>
  </si>
  <si>
    <t>Base Alaska economic growth assumption (no income tax):</t>
  </si>
  <si>
    <t>Coefficient of marginal tax rate on economic growth assumption:</t>
  </si>
  <si>
    <t>Rate of state tax on federal income tax liability</t>
  </si>
  <si>
    <t>Econ growth (%)</t>
  </si>
  <si>
    <r>
      <t xml:space="preserve">Numbers in </t>
    </r>
    <r>
      <rPr>
        <sz val="10"/>
        <color rgb="FFFF0000"/>
        <rFont val="Arial"/>
        <family val="2"/>
      </rPr>
      <t>red</t>
    </r>
    <r>
      <rPr>
        <sz val="10"/>
        <rFont val="Arial"/>
        <family val="2"/>
      </rPr>
      <t xml:space="preserve"> indicate tax regimes that, if the model is true, would send Alaska's economy into long-term recession.</t>
    </r>
  </si>
  <si>
    <t>Average marginal rate of federal income tax</t>
  </si>
  <si>
    <t>Source</t>
  </si>
  <si>
    <t>http://www.cbo.gov/sites/default/files/cbofiles/attachments/11-15-2012-MarginalTaxRates.pdf, p. 7</t>
  </si>
  <si>
    <t>Rates in future years assumed to be the same as 2014</t>
  </si>
  <si>
    <t>Estimate of revenue raised by an income tax next year</t>
  </si>
  <si>
    <t>Quantity</t>
  </si>
  <si>
    <t>Jurisdiction</t>
  </si>
  <si>
    <t>Value (2013)</t>
  </si>
  <si>
    <t>Individual income tax withheld + FICA tax</t>
  </si>
  <si>
    <t>AK</t>
  </si>
  <si>
    <t>Individual income tax payments + SECA tax</t>
  </si>
  <si>
    <t>Individual income tax withheld</t>
  </si>
  <si>
    <t>US</t>
  </si>
  <si>
    <t>Individual income tax payments</t>
  </si>
  <si>
    <t>FICA tax</t>
  </si>
  <si>
    <t>SECA tax</t>
  </si>
  <si>
    <t>Ratio (income tax withheld) / (income tax withheld + FICA)</t>
  </si>
  <si>
    <t>Ratio (income tax payments) / (income tax payments + SECA)</t>
  </si>
  <si>
    <t>Estimate of individual income tax withheld</t>
  </si>
  <si>
    <t>Estimate of individual income tax payments</t>
  </si>
  <si>
    <t>Estimate of total federal individual income tax liability</t>
  </si>
  <si>
    <t>Estimate of economic growth rate 2013-15</t>
  </si>
  <si>
    <t>FY Ending Balance</t>
  </si>
  <si>
    <t>Fund Earnings</t>
  </si>
  <si>
    <t>FY Beginning Balance</t>
  </si>
  <si>
    <t>Earnings Rate:</t>
  </si>
  <si>
    <t>Total Fund</t>
  </si>
  <si>
    <t>FY-End Assigned Balance</t>
  </si>
  <si>
    <t>Net Assigned Change</t>
  </si>
  <si>
    <t>FY-End Balance</t>
  </si>
  <si>
    <t xml:space="preserve">Net Change </t>
  </si>
  <si>
    <t xml:space="preserve">Unrealized Gain (Loss) </t>
  </si>
  <si>
    <t>FY-End Balance Realized</t>
  </si>
  <si>
    <t>Gen. Fund / Other</t>
  </si>
  <si>
    <t xml:space="preserve">Inflation Proofing </t>
  </si>
  <si>
    <t>Dividends</t>
  </si>
  <si>
    <t>Statutory Net Income</t>
  </si>
  <si>
    <t>Accounting Net Income</t>
  </si>
  <si>
    <t>FY-End Non-spendable Balance</t>
  </si>
  <si>
    <t>Net Change</t>
  </si>
  <si>
    <t>Unrealized Gain (Loss)</t>
  </si>
  <si>
    <t>FY-End Balance Contributions</t>
  </si>
  <si>
    <t>Inflation Proofing</t>
  </si>
  <si>
    <t>Dedicated State Revenues</t>
  </si>
  <si>
    <t>FY-Beginning Contributions</t>
  </si>
  <si>
    <t>($ in Millions)</t>
  </si>
  <si>
    <t>APFC Forecast as of January 31, 2015 (Mid-Case used for Fiscal Year 2015)</t>
  </si>
  <si>
    <t>CURRENT APFC FINANCIALS + FORECAST</t>
  </si>
  <si>
    <t>State/Public Split (State Share)</t>
  </si>
  <si>
    <t>Collateralization Revenues</t>
  </si>
  <si>
    <t>Hazardous Release/Conservation surcharge</t>
  </si>
  <si>
    <t>Adjustable in $0.01</t>
  </si>
  <si>
    <t>Susitna (or other) Hydroelectric Project</t>
  </si>
  <si>
    <t>Susitna (or other) Hydroelectric Project Revenues</t>
  </si>
  <si>
    <t>Large Project Revenues</t>
  </si>
  <si>
    <t>Cook Inlet</t>
  </si>
  <si>
    <r>
      <rPr>
        <b/>
        <vertAlign val="superscript"/>
        <sz val="12"/>
        <rFont val="Arial"/>
        <family val="2"/>
      </rPr>
      <t>10</t>
    </r>
    <r>
      <rPr>
        <sz val="11"/>
        <color theme="1"/>
        <rFont val="Calibri"/>
        <family val="2"/>
        <scheme val="minor"/>
      </rPr>
      <t>Credits against liability for FY 2011 was estimated, and this total does not match the Fall 2013 Revenue Sources Book number.</t>
    </r>
  </si>
  <si>
    <r>
      <rPr>
        <b/>
        <vertAlign val="superscript"/>
        <sz val="12"/>
        <rFont val="Arial"/>
        <family val="2"/>
      </rPr>
      <t xml:space="preserve">5 </t>
    </r>
    <r>
      <rPr>
        <sz val="11"/>
        <color theme="1"/>
        <rFont val="Calibri"/>
        <family val="2"/>
        <scheme val="minor"/>
      </rPr>
      <t>The Education Credit, AS 43.55.019, though not reported in its own credit category in the summary, was less than $1 million in each year reported and is calculated in the total.</t>
    </r>
  </si>
  <si>
    <r>
      <rPr>
        <b/>
        <vertAlign val="superscript"/>
        <sz val="12"/>
        <rFont val="Arial"/>
        <family val="2"/>
      </rPr>
      <t>9</t>
    </r>
    <r>
      <rPr>
        <sz val="11"/>
        <color theme="1"/>
        <rFont val="Calibri"/>
        <family val="2"/>
        <scheme val="minor"/>
      </rPr>
      <t xml:space="preserve">Because ACES was retroactive to April 2006, three months of 2006 credits data is included in the FY 2007 number.  </t>
    </r>
  </si>
  <si>
    <r>
      <rPr>
        <b/>
        <vertAlign val="superscript"/>
        <sz val="12"/>
        <rFont val="Arial"/>
        <family val="2"/>
      </rPr>
      <t>4</t>
    </r>
    <r>
      <rPr>
        <sz val="11"/>
        <color theme="1"/>
        <rFont val="Calibri"/>
        <family val="2"/>
        <scheme val="minor"/>
      </rPr>
      <t>Credits under AS 43.20 include the Gas Exploration and Development Credit, Gas Storage Facility Credit, the In-State Gas Refinery Credit, and the LNG Storage Facility Credit.</t>
    </r>
  </si>
  <si>
    <r>
      <rPr>
        <b/>
        <vertAlign val="superscript"/>
        <sz val="12"/>
        <rFont val="Arial"/>
        <family val="2"/>
      </rPr>
      <t>8</t>
    </r>
    <r>
      <rPr>
        <sz val="11"/>
        <color theme="1"/>
        <rFont val="Calibri"/>
        <family val="2"/>
        <scheme val="minor"/>
      </rPr>
      <t>The Per-Taxable Barrel Credit went into effect on January 1, 2014.</t>
    </r>
  </si>
  <si>
    <r>
      <rPr>
        <b/>
        <vertAlign val="superscript"/>
        <sz val="12"/>
        <rFont val="Arial"/>
        <family val="2"/>
      </rPr>
      <t>3</t>
    </r>
    <r>
      <rPr>
        <sz val="11"/>
        <color theme="1"/>
        <rFont val="Calibri"/>
        <family val="2"/>
        <scheme val="minor"/>
      </rPr>
      <t xml:space="preserve">Credits under AS 43.55.025 include the Alternative Credit for Exploration, the Frontier Basin Credit, and for Cook Inlet only the Cook Inlet Jack-up Rig Credit </t>
    </r>
  </si>
  <si>
    <r>
      <rPr>
        <b/>
        <vertAlign val="superscript"/>
        <sz val="12"/>
        <rFont val="Arial"/>
        <family val="2"/>
      </rPr>
      <t xml:space="preserve">7 </t>
    </r>
    <r>
      <rPr>
        <sz val="11"/>
        <color theme="1"/>
        <rFont val="Calibri"/>
        <family val="2"/>
        <scheme val="minor"/>
      </rPr>
      <t>AS 43.55.023(i), The Transitional Investment Expenditure credit, sunset on December 31, 2013.</t>
    </r>
  </si>
  <si>
    <r>
      <rPr>
        <b/>
        <vertAlign val="superscript"/>
        <sz val="12"/>
        <rFont val="Arial"/>
        <family val="2"/>
      </rPr>
      <t>2</t>
    </r>
    <r>
      <rPr>
        <sz val="11"/>
        <color theme="1"/>
        <rFont val="Calibri"/>
        <family val="2"/>
        <scheme val="minor"/>
      </rPr>
      <t xml:space="preserve">Forecasted refunded credits are rounded to nearest $25 million for presentation in RSB to reflect uncertainty around these estimates. Forecasted credits against liability are rounded to the nearest $10 million. </t>
    </r>
  </si>
  <si>
    <r>
      <rPr>
        <b/>
        <vertAlign val="superscript"/>
        <sz val="12"/>
        <rFont val="Arial"/>
        <family val="2"/>
      </rPr>
      <t>1</t>
    </r>
    <r>
      <rPr>
        <sz val="11"/>
        <color theme="1"/>
        <rFont val="Calibri"/>
        <family val="2"/>
        <scheme val="minor"/>
      </rPr>
      <t>These numbers are preliminary pending Annual Returns.</t>
    </r>
  </si>
  <si>
    <t xml:space="preserve">* An asteric indicates that the data is confidential. </t>
  </si>
  <si>
    <r>
      <rPr>
        <b/>
        <vertAlign val="superscript"/>
        <sz val="12"/>
        <rFont val="Arial"/>
        <family val="2"/>
      </rPr>
      <t xml:space="preserve">6 </t>
    </r>
    <r>
      <rPr>
        <sz val="11"/>
        <color theme="1"/>
        <rFont val="Calibri"/>
        <family val="2"/>
        <scheme val="minor"/>
      </rPr>
      <t>For historical credits against tax liability, geographic location was determined by attributing all .023(l) credits to Non-North Slope, all .025 credits to North Slope, and the other credits were placed according to where the taxpayer mainly operated. Since multiple taxpayers had operations in both North Slope and other areas, these numbers should be treated as rough estimates.</t>
    </r>
  </si>
  <si>
    <t>Source: Fall 2014 Revenue Sources Book backup.</t>
  </si>
  <si>
    <r>
      <t>$811</t>
    </r>
    <r>
      <rPr>
        <b/>
        <vertAlign val="superscript"/>
        <sz val="12"/>
        <rFont val="Arial"/>
        <family val="2"/>
      </rPr>
      <t>10</t>
    </r>
  </si>
  <si>
    <t>Total Statewide Production Tax Credits</t>
  </si>
  <si>
    <t>*</t>
  </si>
  <si>
    <t>Total Credits Non-North Slope</t>
  </si>
  <si>
    <t>Total Credits North Slope</t>
  </si>
  <si>
    <r>
      <t>557</t>
    </r>
    <r>
      <rPr>
        <b/>
        <vertAlign val="superscript"/>
        <sz val="12"/>
        <rFont val="Arial"/>
        <family val="2"/>
      </rPr>
      <t>9</t>
    </r>
  </si>
  <si>
    <t>Total Credits Used Against Tax Liability</t>
  </si>
  <si>
    <t xml:space="preserve">Total Non-North Slope </t>
  </si>
  <si>
    <t xml:space="preserve">Small producer credit, AS 43.55.024(a)(c) </t>
  </si>
  <si>
    <t>Qualified capital expenditure, AS 43.55.023(a); Carry-forward annual loss, AS 43.55.023(b); Well lease expenditure, AS 43.55.023(l)</t>
  </si>
  <si>
    <t>Non-North Slope</t>
  </si>
  <si>
    <t>Total North Slope</t>
  </si>
  <si>
    <r>
      <t>Credits under AS 43.55.025</t>
    </r>
    <r>
      <rPr>
        <b/>
        <vertAlign val="superscript"/>
        <sz val="12"/>
        <rFont val="Arial"/>
        <family val="2"/>
      </rPr>
      <t>3</t>
    </r>
  </si>
  <si>
    <r>
      <t>Per taxable barrel credit, AS 43.55.024(i)-(j)</t>
    </r>
    <r>
      <rPr>
        <b/>
        <vertAlign val="superscript"/>
        <sz val="12"/>
        <rFont val="Arial"/>
        <family val="2"/>
      </rPr>
      <t>8</t>
    </r>
  </si>
  <si>
    <r>
      <t>Transitional investment expenditure: AS 43.55.023(i)</t>
    </r>
    <r>
      <rPr>
        <b/>
        <vertAlign val="superscript"/>
        <sz val="12"/>
        <color theme="1"/>
        <rFont val="Arial"/>
        <family val="2"/>
      </rPr>
      <t>7</t>
    </r>
  </si>
  <si>
    <t>Qualified capital expenditure, AS 43.55.023(a); Carry-forward annual loss, AS 43.55.023(b)</t>
  </si>
  <si>
    <t>North Slope</t>
  </si>
  <si>
    <r>
      <t>Credits Used Against Tax Liability</t>
    </r>
    <r>
      <rPr>
        <b/>
        <vertAlign val="superscript"/>
        <sz val="12"/>
        <rFont val="Arial"/>
        <family val="2"/>
      </rPr>
      <t>5,6</t>
    </r>
  </si>
  <si>
    <t>Total Refunded Credits</t>
  </si>
  <si>
    <t>Total Non-North Slope</t>
  </si>
  <si>
    <r>
      <t>Credits under AS 43.20</t>
    </r>
    <r>
      <rPr>
        <b/>
        <vertAlign val="superscript"/>
        <sz val="12"/>
        <rFont val="Arial"/>
        <family val="2"/>
      </rPr>
      <t>4</t>
    </r>
  </si>
  <si>
    <t>Refunded Credits</t>
  </si>
  <si>
    <t>FY 19</t>
  </si>
  <si>
    <t>FY 18</t>
  </si>
  <si>
    <t>FY 17</t>
  </si>
  <si>
    <t>FY 16</t>
  </si>
  <si>
    <t>FY 15</t>
  </si>
  <si>
    <t xml:space="preserve">FY 14 </t>
  </si>
  <si>
    <t>FY 13</t>
  </si>
  <si>
    <t>FY 12</t>
  </si>
  <si>
    <t>FY 11</t>
  </si>
  <si>
    <t>FY 10</t>
  </si>
  <si>
    <t>FY 09</t>
  </si>
  <si>
    <t>FY 08</t>
  </si>
  <si>
    <t xml:space="preserve">FY 07 </t>
  </si>
  <si>
    <t>($millions)</t>
  </si>
  <si>
    <r>
      <t>Forecast</t>
    </r>
    <r>
      <rPr>
        <b/>
        <vertAlign val="superscript"/>
        <sz val="12"/>
        <rFont val="Arial"/>
        <family val="2"/>
      </rPr>
      <t>2</t>
    </r>
  </si>
  <si>
    <r>
      <t>Preliminary</t>
    </r>
    <r>
      <rPr>
        <b/>
        <vertAlign val="superscript"/>
        <sz val="12"/>
        <rFont val="Arial"/>
        <family val="2"/>
      </rPr>
      <t>1</t>
    </r>
  </si>
  <si>
    <t xml:space="preserve">Historical </t>
  </si>
  <si>
    <t xml:space="preserve">Prepared 2/27/2015 by Economic Research Group </t>
  </si>
  <si>
    <t>DRAFT Detail on Historical Production Tax Credits and Forecast</t>
  </si>
  <si>
    <t>Per taxable barrel credit, AS 43.55.024(i)-(j)</t>
  </si>
  <si>
    <t>Transitional investment expenditure: AS 43.55.023(i)</t>
  </si>
  <si>
    <t>Credits Used Against Tax Liability</t>
  </si>
  <si>
    <t>Number of cats</t>
  </si>
  <si>
    <t>Cat tax</t>
  </si>
  <si>
    <t>high</t>
  </si>
  <si>
    <t>medium</t>
  </si>
  <si>
    <t>low</t>
  </si>
  <si>
    <t xml:space="preserve">Revenue </t>
  </si>
  <si>
    <t>Credits under AS 43.55.025</t>
  </si>
  <si>
    <t>Credits under AS 43.20</t>
  </si>
  <si>
    <t>Credits by Region</t>
  </si>
  <si>
    <t>Petroleum Credits</t>
  </si>
  <si>
    <t>Base Fee per case</t>
  </si>
  <si>
    <t>Number of cases</t>
  </si>
  <si>
    <t>2015 Cases</t>
  </si>
  <si>
    <t>Rate of Increase</t>
  </si>
  <si>
    <t>Child Support Fee that State Currently Pays</t>
  </si>
  <si>
    <t>Assessment Rate</t>
  </si>
  <si>
    <t>Projected Taxable Revenues</t>
  </si>
  <si>
    <t>Base value</t>
  </si>
  <si>
    <t>Increase Rate</t>
  </si>
  <si>
    <t>Hospital</t>
  </si>
  <si>
    <t>Nursing Homes</t>
  </si>
  <si>
    <t>Include</t>
  </si>
  <si>
    <t>ICF/MR-DD</t>
  </si>
  <si>
    <t>Home Health</t>
  </si>
  <si>
    <t>Outpatient Pharmacy</t>
  </si>
  <si>
    <t>Vermont numbers</t>
  </si>
  <si>
    <t>Pop Ratio</t>
  </si>
  <si>
    <t>Expense Ratio</t>
  </si>
  <si>
    <t>Debt Payments</t>
  </si>
  <si>
    <t>Debt Servicing - With Growth</t>
  </si>
  <si>
    <t>total debt service</t>
  </si>
  <si>
    <t>Capital Project Reimbursements</t>
  </si>
  <si>
    <t xml:space="preserve">(2) school debt reimbursement </t>
  </si>
  <si>
    <t>(1) Capital Leases</t>
  </si>
  <si>
    <t>lease / purchase</t>
  </si>
  <si>
    <t>university</t>
  </si>
  <si>
    <t>state G.O.</t>
  </si>
  <si>
    <t>fiscal year</t>
  </si>
  <si>
    <t>$ (millions)</t>
  </si>
  <si>
    <t>Debt Service on State Supported Debt</t>
  </si>
  <si>
    <t>State of Alaska</t>
  </si>
  <si>
    <t>TABLE 4.9 (Continued)</t>
  </si>
  <si>
    <t>Projection</t>
  </si>
  <si>
    <t>3 - State G.O. debt service is net of federal subsidies on interest expense through 2038</t>
  </si>
  <si>
    <t>2 - FY2014 - 2032 payments rely on the Department of Education &amp; Early Developments files as of 6/30/2013</t>
  </si>
  <si>
    <t xml:space="preserve">1 - There are two prisons, a building and a parking garage financed with capital leases </t>
  </si>
  <si>
    <t>ANTHC</t>
  </si>
  <si>
    <t>2012 GO Authorization</t>
  </si>
  <si>
    <t xml:space="preserve">Debt Service on outstanding State Supported Debt as of June 30, 2014 </t>
  </si>
  <si>
    <t>TABLE 4.9</t>
  </si>
  <si>
    <t>Based on Spring 2015 Forecast</t>
  </si>
  <si>
    <t>Production Tax with Cap Removed</t>
  </si>
  <si>
    <t>Base Tax Rate (4% is current rate)</t>
  </si>
  <si>
    <t xml:space="preserve">Remaining Company Profit </t>
  </si>
  <si>
    <t>Taxable Value</t>
  </si>
  <si>
    <t>Severance Tax or Minimum Tax</t>
  </si>
  <si>
    <t>Base Tax Rate (35% is current rate)</t>
  </si>
  <si>
    <t>Net Severance Tax - Additional Revenue</t>
  </si>
  <si>
    <t>Base</t>
  </si>
  <si>
    <t>Retail sales</t>
  </si>
  <si>
    <t>Food</t>
  </si>
  <si>
    <t>Fuel</t>
  </si>
  <si>
    <t>Repair labor</t>
  </si>
  <si>
    <t>Accommodation and food services</t>
  </si>
  <si>
    <t>Entertainment and recreation</t>
  </si>
  <si>
    <t>Arts and culture</t>
  </si>
  <si>
    <t>Fitness Centers</t>
  </si>
  <si>
    <t>Guides</t>
  </si>
  <si>
    <t>Admin and support</t>
  </si>
  <si>
    <t>Security</t>
  </si>
  <si>
    <t>Other services</t>
  </si>
  <si>
    <t>Arts, entertainment and recreation</t>
  </si>
  <si>
    <t>Not under AS 43.56</t>
  </si>
  <si>
    <t>Under AS 43.56</t>
  </si>
  <si>
    <t>Include AS 43.56</t>
  </si>
  <si>
    <t>Average increase last 5 years</t>
  </si>
  <si>
    <t>Rate as a Percent</t>
  </si>
  <si>
    <t>Card Rooms</t>
  </si>
  <si>
    <t>Quantity in State</t>
  </si>
  <si>
    <t>Casino</t>
  </si>
  <si>
    <t>Rev per Visitor</t>
  </si>
  <si>
    <t>State's Take %</t>
  </si>
  <si>
    <t>Visits per year</t>
  </si>
  <si>
    <t>Pulltabs</t>
  </si>
  <si>
    <t>2014 Collections</t>
  </si>
  <si>
    <t>Net procedes fee</t>
  </si>
  <si>
    <t>Increase Current Gaming Rates</t>
  </si>
  <si>
    <t>Rise in Charitable Gaming Rate</t>
  </si>
  <si>
    <t>Legalize Casino</t>
  </si>
  <si>
    <t>Legalize Card Rooms</t>
  </si>
  <si>
    <t>% of State's Take</t>
  </si>
  <si>
    <t>Inflation/growth assumption</t>
  </si>
  <si>
    <t>Current</t>
  </si>
  <si>
    <t>Card Room</t>
  </si>
  <si>
    <t>Current % at time</t>
  </si>
  <si>
    <t>All Revenues and Large Projects - Version 1</t>
  </si>
  <si>
    <t>Gross Value Reduction - Remove</t>
  </si>
  <si>
    <t>Debt Growth - (current projection is to right)</t>
  </si>
  <si>
    <t>Minimum Tax - Additional Revenue</t>
  </si>
  <si>
    <t>Gross Receipts/Sales Tax</t>
  </si>
  <si>
    <t>Revenue ($ in millions)</t>
  </si>
  <si>
    <t>OMB Appropriations Forecast</t>
  </si>
  <si>
    <t>Permanent Fund Projected Balance</t>
  </si>
  <si>
    <t>Permanent Fund Spendable Balance</t>
  </si>
  <si>
    <t>Current PF Revenue Methodology</t>
  </si>
  <si>
    <t>Remaining Permanent Fund Balance</t>
  </si>
  <si>
    <t>Deficit Debt Issuance After PF Spendable Balance = 0</t>
  </si>
  <si>
    <t>GF Appropriations and Large Projects</t>
  </si>
  <si>
    <t>Revenue Options</t>
  </si>
  <si>
    <t>Large Projects</t>
  </si>
  <si>
    <t>PERS/TRS "Net" Arbitrage Bonds</t>
  </si>
  <si>
    <t>Cook Inlet Production Tax Cap</t>
  </si>
  <si>
    <t>April 2015</t>
  </si>
  <si>
    <t>Revenue Options Descriptions</t>
  </si>
  <si>
    <t>1 MILL</t>
  </si>
  <si>
    <t>2 MILLS</t>
  </si>
  <si>
    <t>3 MILLS</t>
  </si>
  <si>
    <t>4 MILLS</t>
  </si>
  <si>
    <t>5 MILLS</t>
  </si>
  <si>
    <t>Fisheries Tax Currently expected</t>
  </si>
  <si>
    <t>Weighted average FTB Rate</t>
  </si>
  <si>
    <t>Weighted average FRL Rate</t>
  </si>
  <si>
    <t>Estimated Bases for FBT</t>
  </si>
  <si>
    <t>Estimated Bases for FRL</t>
  </si>
  <si>
    <t>Current mining Expectations</t>
  </si>
  <si>
    <t>Bases</t>
  </si>
  <si>
    <t>Additional tax Rate</t>
  </si>
  <si>
    <t>Remove Depreciation  Allowance</t>
  </si>
  <si>
    <t>Current Weighted Average Tax Rate</t>
  </si>
  <si>
    <t>AKLNG - 25% equity, TC, Dec 15 TC removal</t>
  </si>
  <si>
    <t>AKLNG - 25% equity, TC, Dec 15 with buyback</t>
  </si>
  <si>
    <t xml:space="preserve">Gross Value Reduction </t>
  </si>
  <si>
    <t>Expected Earnings</t>
  </si>
  <si>
    <t>Current Rates</t>
  </si>
  <si>
    <t>Highway</t>
  </si>
  <si>
    <t>Aviation Gas</t>
  </si>
  <si>
    <t>Marine Fuel</t>
  </si>
  <si>
    <t>Jet fuel</t>
  </si>
  <si>
    <t>2014 Gallons</t>
  </si>
  <si>
    <t>Delta</t>
  </si>
  <si>
    <t>Reserves Tax with Credit Component</t>
  </si>
  <si>
    <t>State Share of PF Revenues</t>
  </si>
  <si>
    <t>Mining Tax Rate Increase</t>
  </si>
  <si>
    <t>Rise in Mining Tax Rate</t>
  </si>
  <si>
    <t>Mining Tax</t>
  </si>
  <si>
    <t>Fishing Tax</t>
  </si>
  <si>
    <t>Fishing Tax Rate Increase</t>
  </si>
  <si>
    <t>Rise in Fishing Tax Rate</t>
  </si>
  <si>
    <t>Fuel Tax</t>
  </si>
  <si>
    <t>Fuel Tax Rate Increase</t>
  </si>
  <si>
    <t>Increase in tax per Gallon</t>
  </si>
  <si>
    <t>Inflation multiplier 2014</t>
  </si>
  <si>
    <t>Residency adjustment percentage:</t>
  </si>
  <si>
    <t>5-year average</t>
  </si>
  <si>
    <t>Wages/sal</t>
  </si>
  <si>
    <t>Ratio</t>
  </si>
  <si>
    <t>Net earn</t>
  </si>
  <si>
    <t>Personal income</t>
  </si>
  <si>
    <t>Adjustment</t>
  </si>
  <si>
    <t>http://bea.gov/itable/iTable.cfm?ReqID=70&amp;step=1#reqid=70&amp;step=30&amp;isuri=1&amp;7022=2&amp;7023=0&amp;7033=-1&amp;7024=naics&amp;7025=0&amp;7026=02000&amp;7027=2014,2013,2012,2011,2010&amp;7001=42&amp;7028=-1&amp;7031=0&amp;7040=-1&amp;7083=levels&amp;7029=28&amp;7090=70</t>
  </si>
  <si>
    <t>Source:</t>
  </si>
  <si>
    <t>Residency adjustments</t>
  </si>
  <si>
    <t>Fisheries Business muni</t>
  </si>
  <si>
    <t>Fisheries Business state</t>
  </si>
  <si>
    <t>Fishery Resource Landing muni</t>
  </si>
  <si>
    <t>Fishery Resource Landing state</t>
  </si>
  <si>
    <t>Avg price</t>
  </si>
  <si>
    <t>Elasticity</t>
  </si>
  <si>
    <t>Original</t>
  </si>
  <si>
    <t>New rate</t>
  </si>
  <si>
    <t>Gallons 2014</t>
  </si>
  <si>
    <t>Projected tax</t>
  </si>
  <si>
    <t>Additional growth rate above general economic growth</t>
  </si>
  <si>
    <t>Uniform economic growth rate</t>
  </si>
  <si>
    <t>Using the lowest per capita income of North Dakota of $11.45 (the state is unique among all U.S. lotteries, as it is only able to offer multistate draw games as instant tickets and North Dakota-only games are prohibited) and national averages of prizes (62%) and Operating Costs (5%), Alaska could generate annual proceeds of $8 million.  The addition of VLTs could have a significant impact on the amount of income that could be generated for the State.</t>
  </si>
  <si>
    <t>Avg. tables per card room</t>
  </si>
  <si>
    <t>Fee per year</t>
  </si>
  <si>
    <t>Total annual revenue</t>
  </si>
  <si>
    <t>Card room yearly fee</t>
  </si>
  <si>
    <t>Per-table yearly fee</t>
  </si>
  <si>
    <t>Net Severance Tax - Current Base Rate 35%</t>
  </si>
  <si>
    <t>Loan to Value Ratio</t>
  </si>
  <si>
    <t>State Budget General Funds Unrestricted</t>
  </si>
  <si>
    <t>DEFICIT</t>
  </si>
  <si>
    <t>Inflation Assumption</t>
  </si>
  <si>
    <t>TOTAL CUT PERCENTAGE</t>
  </si>
  <si>
    <t>DEPARTMENT OF ""</t>
  </si>
  <si>
    <t>DEPARTMENT CUT AMOUNT</t>
  </si>
  <si>
    <t>2014 Actual</t>
  </si>
  <si>
    <t>Administration</t>
  </si>
  <si>
    <t>Department of Administration</t>
  </si>
  <si>
    <t>Commerce, Community and Economic Development</t>
  </si>
  <si>
    <t>Department of Commerce, Community and Economic Development</t>
  </si>
  <si>
    <t>Corrections</t>
  </si>
  <si>
    <t>Department of Corrections</t>
  </si>
  <si>
    <t>Education and Early Development</t>
  </si>
  <si>
    <t>Department of Education and Early Development</t>
  </si>
  <si>
    <t>Environmental Conservation</t>
  </si>
  <si>
    <t>Department of Environmental Conservation</t>
  </si>
  <si>
    <t>Fish and Game</t>
  </si>
  <si>
    <t>Department of Fish and Game</t>
  </si>
  <si>
    <t>Health and Social Services</t>
  </si>
  <si>
    <t>Department of Health and Social Services</t>
  </si>
  <si>
    <t>Labor and Workforce Development</t>
  </si>
  <si>
    <t>Department of Labor and Workforce Development</t>
  </si>
  <si>
    <t>Law</t>
  </si>
  <si>
    <t>Department of Law</t>
  </si>
  <si>
    <t>Military and Veterans' Affairs</t>
  </si>
  <si>
    <t>Department of Military and Veterans' Affairs</t>
  </si>
  <si>
    <t>Natural Resources</t>
  </si>
  <si>
    <t>Department of Natural Resources</t>
  </si>
  <si>
    <t>Public Safety</t>
  </si>
  <si>
    <t>Department of Public Safety</t>
  </si>
  <si>
    <t>Transportation and Public Facilities</t>
  </si>
  <si>
    <t>Department of Transportation and Public Facilities</t>
  </si>
  <si>
    <t>University of Alaska</t>
  </si>
  <si>
    <t>Office of the Governor</t>
  </si>
  <si>
    <t>Branch-wide Unallocated Appropriations</t>
  </si>
  <si>
    <t>Alaska Court System</t>
  </si>
  <si>
    <t>Alaska Legislature</t>
  </si>
  <si>
    <t>YEAR</t>
  </si>
  <si>
    <t>TOTAL BUDGET CUT AMOUNT</t>
  </si>
  <si>
    <t>Agency Operations Total</t>
  </si>
  <si>
    <t>Debt Service</t>
  </si>
  <si>
    <t>State Assistance to Retirement Funds</t>
  </si>
  <si>
    <t>Special Appropriations</t>
  </si>
  <si>
    <t>Fund Capitalization</t>
  </si>
  <si>
    <t>Stwd Operations Total</t>
  </si>
  <si>
    <t>Total Operating Budget</t>
  </si>
  <si>
    <t>Inflation Rate</t>
  </si>
  <si>
    <t>FY 2016-FY 2025 Revenue impact of base tax rate changes at various prices, $million (holding all else equal)</t>
  </si>
  <si>
    <t>Prepared 4/14/2015 by Dan Stickel based on spring 2015 forecast</t>
  </si>
  <si>
    <t>Base rate increased from 35 to 40%</t>
  </si>
  <si>
    <t>Price</t>
  </si>
  <si>
    <t>Official Forecast</t>
  </si>
  <si>
    <t>Base rate increased from 35 to 45%</t>
  </si>
  <si>
    <t>Base rate increased from 35 to 50%</t>
  </si>
  <si>
    <t>Base rate increased from 35 to 55%</t>
  </si>
  <si>
    <t>Base rate increased from 35 to 60%</t>
  </si>
  <si>
    <t>Base rate increased from 35 to 65%</t>
  </si>
  <si>
    <t>Base rate increased from 35 to 70%</t>
  </si>
  <si>
    <t>Base rate increased from 35 to 75%</t>
  </si>
  <si>
    <t>Base rate increased from 35 to 80%</t>
  </si>
  <si>
    <t>Base rate increased from 35 to 85%</t>
  </si>
  <si>
    <t>Base rate increased from 35 to 90%</t>
  </si>
  <si>
    <t>Base rate increased from 35 to 95%</t>
  </si>
  <si>
    <t>Base rate increased from 35 to 100%</t>
  </si>
  <si>
    <t>FY 2016-FY 2025 Revenue impact of other tax rate changes at various prices, $million (holding all else equal)</t>
  </si>
  <si>
    <t>Remove Gross Value Reduction</t>
  </si>
  <si>
    <t>FY 2016-FY 2025 Detailed production tax credits estimates at various prices, $million</t>
  </si>
  <si>
    <t>Refunded - NS 023</t>
  </si>
  <si>
    <t>Against Liability - NS 023 (NOL carry forward for big 3)</t>
  </si>
  <si>
    <t>Against Liability - NS 024(i)-(j)</t>
  </si>
  <si>
    <t>Against Liability - NS 024(a,c)</t>
  </si>
  <si>
    <t>Against Liability - non-NS 023</t>
  </si>
  <si>
    <t>Against Liability - non-NS 024</t>
  </si>
  <si>
    <t>Long Run Price Of ANS Crude</t>
  </si>
  <si>
    <t>Securitization Revenue (Only When Collateralization Enabled)</t>
  </si>
  <si>
    <t>Natural Gas Reserves Tax</t>
  </si>
  <si>
    <t>Refunded Credits goes against GF appropriations</t>
  </si>
  <si>
    <t>Credits Used Against Tax Liability goes against revenue</t>
  </si>
  <si>
    <t>Susitna Size Hydroelectric Project</t>
  </si>
  <si>
    <t>Budget Options</t>
  </si>
  <si>
    <t>Inflation</t>
  </si>
  <si>
    <t>Growth(real)</t>
  </si>
  <si>
    <t xml:space="preserve"> </t>
  </si>
  <si>
    <t>GF Appropriations ($ in Millions)</t>
  </si>
  <si>
    <t>Reserve Balance</t>
  </si>
  <si>
    <t>All Funds Spent by</t>
  </si>
  <si>
    <t>Fund Spendable balance end</t>
  </si>
  <si>
    <t xml:space="preserve">ALASKA PERMANENT FUND </t>
  </si>
  <si>
    <t>Projections extend ten years, and are based on best available information ($ in millions)</t>
  </si>
  <si>
    <t>Nonspendable Fund Balance - Principal</t>
  </si>
  <si>
    <t>Assigned Fund Balance</t>
  </si>
  <si>
    <t>TOTAL</t>
  </si>
  <si>
    <t>Unrealized</t>
  </si>
  <si>
    <t>Distributions of</t>
  </si>
  <si>
    <t>FUND</t>
  </si>
  <si>
    <t>ending</t>
  </si>
  <si>
    <t>FY-Begin</t>
  </si>
  <si>
    <t xml:space="preserve"> Dedicated</t>
  </si>
  <si>
    <t xml:space="preserve">    FY-End</t>
  </si>
  <si>
    <t>Gain (Loss)</t>
  </si>
  <si>
    <t>FY-End Non-</t>
  </si>
  <si>
    <t>Acct.</t>
  </si>
  <si>
    <t>Statutory</t>
  </si>
  <si>
    <t>FY-End</t>
  </si>
  <si>
    <t>Net</t>
  </si>
  <si>
    <t>total</t>
  </si>
  <si>
    <t>REALIZED</t>
  </si>
  <si>
    <t>Contrib.</t>
  </si>
  <si>
    <t>Appro-</t>
  </si>
  <si>
    <t xml:space="preserve"> Inflation</t>
  </si>
  <si>
    <t xml:space="preserve">   Balance</t>
  </si>
  <si>
    <t>spendable</t>
  </si>
  <si>
    <t>Inf-Proofing</t>
  </si>
  <si>
    <t>Gen. Fund</t>
  </si>
  <si>
    <t>Balance</t>
  </si>
  <si>
    <t>Assigned</t>
  </si>
  <si>
    <t>UGL</t>
  </si>
  <si>
    <t>Prin Balance</t>
  </si>
  <si>
    <t>Earn Reserve</t>
  </si>
  <si>
    <t>FY</t>
  </si>
  <si>
    <t>priations</t>
  </si>
  <si>
    <t>Revenues</t>
  </si>
  <si>
    <t>Proofing</t>
  </si>
  <si>
    <t>Contributions</t>
  </si>
  <si>
    <t>Income</t>
  </si>
  <si>
    <t>/ Other</t>
  </si>
  <si>
    <t>Realized</t>
  </si>
  <si>
    <t>UGL Activity</t>
  </si>
  <si>
    <t>$</t>
  </si>
  <si>
    <t>%</t>
  </si>
  <si>
    <t>Misc Exp</t>
  </si>
  <si>
    <t>Am Hess</t>
  </si>
  <si>
    <t>Exp.</t>
  </si>
  <si>
    <t>Approp's)</t>
  </si>
  <si>
    <t>Earnings</t>
  </si>
  <si>
    <t xml:space="preserve"> …</t>
  </si>
  <si>
    <t xml:space="preserve">Cumulative Totals </t>
  </si>
  <si>
    <t>Proj. for 2014-2044</t>
  </si>
  <si>
    <t>Total Return - Inflation = Total Real Return</t>
  </si>
  <si>
    <t>Statutory Return</t>
  </si>
  <si>
    <t xml:space="preserve">Appropriations include special general fund, realized earnings, and other miscellaneous appropriation transfers into principal.  </t>
  </si>
  <si>
    <t xml:space="preserve">Dedicated State Revenues in current and future fiscal years are based on the Fall 2013 Department of Revenue forecast.   </t>
  </si>
  <si>
    <t>Accounting net income is based on United States Generally Accepted Accounting Principles (GAAP).  Statutory net income is accounting net income, excluding any unrealized gains and    losses on investments, and excluding earnings of the Alaska Capital Income Fund (AM Hess, et al principal).</t>
  </si>
  <si>
    <t xml:space="preserve">FY05 and forward, Amerada Hess, et al. annual net positive settlement earnings are transferred to Alaska Capital Income Fund (ACIF) per AS 37.13.145(d).  </t>
  </si>
  <si>
    <t>FY 2015-2024</t>
  </si>
  <si>
    <t>Beginning in FY08, based on legal opinion, unrealized gains and losses were allocated between the nonspendable fund balance (principal) and the assigned fund balance    (earnings reserve).  Prior to FY08, all unrealized gains and losses were included with principal.</t>
  </si>
  <si>
    <t>Current year returns and inflation are based on 2013 Callan capital market assumptions.</t>
  </si>
  <si>
    <t xml:space="preserve">Future returns are based on 2013 Callan capital market assumptions and median expected returns (the mid case).  Actual results will vary.  </t>
  </si>
  <si>
    <t xml:space="preserve">During FY 2009, the ACIF realized losses of $33.3 million, which are excluded from statutory net income, and are included in the ending unreserved balance as a deficit account.        </t>
  </si>
  <si>
    <t xml:space="preserve">During FY 2010 and FY 2011, the ACIF had realized income of $20.8 and $25.3 million, which is excluded from statutory net income, and served to reduce the FY 2009 deficit.  </t>
  </si>
  <si>
    <t>The statutory inflation calculation for FY 2010 was -.36%;  therefore, there was no inflation proofing transfer during FY 2010.</t>
  </si>
  <si>
    <t>FY77-04 includes special appropriations to principal of $4 billion.</t>
  </si>
  <si>
    <t>PERFORMANCE SUMMARY</t>
  </si>
  <si>
    <t>Last 3</t>
  </si>
  <si>
    <t>Fiscal</t>
  </si>
  <si>
    <t>Calendar</t>
  </si>
  <si>
    <t xml:space="preserve">Last 12 </t>
  </si>
  <si>
    <t>Last 5</t>
  </si>
  <si>
    <t xml:space="preserve">Interest, dividends, real estate &amp; other income  </t>
  </si>
  <si>
    <t>(preliminary as of March 31, 2014)</t>
  </si>
  <si>
    <t>Month</t>
  </si>
  <si>
    <t>Months</t>
  </si>
  <si>
    <t>Y-T-D</t>
  </si>
  <si>
    <t>Years</t>
  </si>
  <si>
    <t xml:space="preserve">Realized gains (losses) on the sale of invested assets  </t>
  </si>
  <si>
    <t>Domestic Fixed Income</t>
  </si>
  <si>
    <t xml:space="preserve">Less operating exp / Legis. Appropriations  </t>
  </si>
  <si>
    <t>Non-Domestic Fixed Income</t>
  </si>
  <si>
    <t xml:space="preserve">Less AK Capital Inc. Fund committed realized earnings  </t>
  </si>
  <si>
    <t>Domestic Equities</t>
  </si>
  <si>
    <t xml:space="preserve">Statutory net income (loss)  </t>
  </si>
  <si>
    <t>Non-Domestic Equities</t>
  </si>
  <si>
    <t>Global Equities</t>
  </si>
  <si>
    <t>Real Estate</t>
  </si>
  <si>
    <t>Private Equity1</t>
  </si>
  <si>
    <t>N/M</t>
  </si>
  <si>
    <t>Absolute Return</t>
  </si>
  <si>
    <t xml:space="preserve">Unrealized gains (losses) on invested assets  </t>
  </si>
  <si>
    <t>Infrastructure1</t>
  </si>
  <si>
    <t xml:space="preserve">AK Capital Income Fund committed realized earnings  </t>
  </si>
  <si>
    <t>External CIO/Real Return Mandate</t>
  </si>
  <si>
    <t xml:space="preserve">Accounting (GAAP) net income (loss)  </t>
  </si>
  <si>
    <t>Private CIOs/Real Return Mandate</t>
  </si>
  <si>
    <t>True Special Opportunity</t>
  </si>
  <si>
    <t/>
  </si>
  <si>
    <t>Total Fund Return Objective</t>
  </si>
  <si>
    <t>I:\FIN\Forecasting Models\Revenue Models</t>
  </si>
  <si>
    <t>(Oil to PF Worksheet)</t>
  </si>
  <si>
    <t>Spring 2013 forecast update from Revenue Projection</t>
  </si>
  <si>
    <t>Non-Petroleum</t>
  </si>
  <si>
    <t>Fall 2013 forecast</t>
  </si>
  <si>
    <t>FY15</t>
  </si>
  <si>
    <t>Locate spring forecast figures</t>
  </si>
  <si>
    <t>FY32</t>
  </si>
  <si>
    <t>FY33</t>
  </si>
  <si>
    <t>FY34</t>
  </si>
  <si>
    <t>FY35</t>
  </si>
  <si>
    <t>FY36</t>
  </si>
  <si>
    <t>FY37</t>
  </si>
  <si>
    <t>FY38</t>
  </si>
  <si>
    <t>FY39</t>
  </si>
  <si>
    <t>FY40</t>
  </si>
  <si>
    <t>FY41</t>
  </si>
  <si>
    <t>FY42</t>
  </si>
  <si>
    <t>FY43</t>
  </si>
  <si>
    <t>FY44</t>
  </si>
  <si>
    <t>FY45</t>
  </si>
  <si>
    <t>Initial Amount</t>
  </si>
  <si>
    <t>Uncollected Funds</t>
  </si>
  <si>
    <t>taxes that are currently uncollected</t>
  </si>
  <si>
    <t>Traditional</t>
  </si>
  <si>
    <t>State Pre-Take %</t>
  </si>
  <si>
    <t>State Share of Pot</t>
  </si>
  <si>
    <t>% of Dividend deposited</t>
  </si>
  <si>
    <t>Participation rate</t>
  </si>
  <si>
    <t>Personal Income Tax as % of Fed income tax liability</t>
  </si>
  <si>
    <t>PF Lottery</t>
  </si>
  <si>
    <t>Increase In max marginal tax rate</t>
  </si>
  <si>
    <t>Taxpayers</t>
  </si>
  <si>
    <t>Liability/person</t>
  </si>
  <si>
    <t>Base of amount</t>
  </si>
  <si>
    <t>Amount at max rate avg</t>
  </si>
  <si>
    <t>Total per category</t>
  </si>
  <si>
    <t>Tax Bracket</t>
  </si>
  <si>
    <t>Bottom</t>
  </si>
  <si>
    <t>Top</t>
  </si>
  <si>
    <t>Range size</t>
  </si>
  <si>
    <t>Tax Rate</t>
  </si>
  <si>
    <t>Payment from Category</t>
  </si>
  <si>
    <t>Total Tax Liability</t>
  </si>
  <si>
    <t>Additional $ each taxpayer</t>
  </si>
  <si>
    <t>Corporate Income Tax</t>
  </si>
  <si>
    <t>Increase in the max rate</t>
  </si>
  <si>
    <t>FY 2016-FY 2025 Estimated GFUR and credits breakout at various prices, $million</t>
  </si>
  <si>
    <t>Prepared 4/8/2015 by Dan Stickel based on spring 2015 forecast</t>
  </si>
  <si>
    <t>General Fund Unrestricted Revenue</t>
  </si>
  <si>
    <t>Key spring 2015 forecast assumptions included in this analysis</t>
  </si>
  <si>
    <t>ANS production (ths bbl/day)</t>
  </si>
  <si>
    <t>ANS total lease expenditures 
($ million)</t>
  </si>
  <si>
    <t>ANS total lease expenditures per barrel</t>
  </si>
  <si>
    <t>Production Tax Credits against Liability</t>
  </si>
  <si>
    <t>Tax Credits for Refund</t>
  </si>
  <si>
    <t>Source: DOR spring 2015 forecast model</t>
  </si>
  <si>
    <t>Notes:</t>
  </si>
  <si>
    <t>These tables are based on Spring 2015 forecast assumptions, using forecasted ANS production</t>
  </si>
  <si>
    <t>and total ANS lease expenditures  and non-oil revenue.</t>
  </si>
  <si>
    <t xml:space="preserve">Additional production would likely increase revenues from amounts shown here. </t>
  </si>
  <si>
    <t>Numbers are approximate / rounded for presentation.</t>
  </si>
  <si>
    <t xml:space="preserve">Tax credits for refund are primarily production tax but also include some credits under AS 43.20 </t>
  </si>
  <si>
    <t>that are eligible for payment from the Oil and Gas Tax Credit Fund.</t>
  </si>
  <si>
    <t>Line 49</t>
  </si>
  <si>
    <t>line 54</t>
  </si>
  <si>
    <t>Line 63</t>
  </si>
  <si>
    <t>line 65</t>
  </si>
  <si>
    <t>line 66</t>
  </si>
  <si>
    <t>line 71</t>
  </si>
  <si>
    <t>line 72</t>
  </si>
  <si>
    <t xml:space="preserve">Fund Changes </t>
  </si>
  <si>
    <t>Total Cuts From Budget (In Billions)</t>
  </si>
  <si>
    <t>All funds run out by 2030</t>
  </si>
  <si>
    <t>No funds run out by 2030</t>
  </si>
  <si>
    <t>Capital Budget</t>
  </si>
  <si>
    <t>Cap #</t>
  </si>
  <si>
    <t>Yearly Capital Allocation</t>
  </si>
  <si>
    <t>Yearly Capital Spending In Millions</t>
  </si>
  <si>
    <t>77-05</t>
  </si>
  <si>
    <t>as of February 28, 2015</t>
  </si>
  <si>
    <t>Total Return</t>
  </si>
  <si>
    <t>FY46</t>
  </si>
  <si>
    <t>Minimum tax base</t>
  </si>
  <si>
    <t>Annual Components of Population Change for Alaska, 2012-2042</t>
  </si>
  <si>
    <t>Return</t>
  </si>
  <si>
    <t>July 1 to</t>
  </si>
  <si>
    <t>End of Period</t>
  </si>
  <si>
    <t>June 30</t>
  </si>
  <si>
    <t>Baseline</t>
  </si>
  <si>
    <t>Source: Alaska Department of Labor and Workforce Development, Research and Analysis Section</t>
  </si>
  <si>
    <t>No Cap</t>
  </si>
  <si>
    <t>PFD</t>
  </si>
  <si>
    <t>State Share</t>
  </si>
  <si>
    <t>PFD Cap</t>
  </si>
  <si>
    <t>Cap on PFD</t>
  </si>
  <si>
    <t>Traditional Values</t>
  </si>
  <si>
    <t>Dep</t>
  </si>
  <si>
    <t>Royalty</t>
  </si>
  <si>
    <t>PF Royalty</t>
  </si>
  <si>
    <t>SB 114</t>
  </si>
  <si>
    <t>Revenue Delta</t>
  </si>
  <si>
    <t>Budget</t>
  </si>
  <si>
    <t>Values in Nominal Terms</t>
  </si>
  <si>
    <t>Div Minimum</t>
  </si>
  <si>
    <t xml:space="preserve"> Net effect  of implementing SB 114</t>
  </si>
  <si>
    <t>CBRF &amp; SBRF Spent by</t>
  </si>
  <si>
    <t>CBRF and SBRF run out by 2030</t>
  </si>
  <si>
    <t>Single</t>
  </si>
  <si>
    <t>Joint</t>
  </si>
  <si>
    <t>HOH</t>
  </si>
  <si>
    <t>Est. rev.</t>
  </si>
  <si>
    <t>Joint return pays less tax than single?</t>
  </si>
  <si>
    <t>Joint return pays same as single?</t>
  </si>
  <si>
    <t>Joint return pays more than single?</t>
  </si>
  <si>
    <t>Expected result</t>
  </si>
  <si>
    <t>10-50K</t>
  </si>
  <si>
    <t>If total&lt;20K and near-even split, e.g. 8K+7K</t>
  </si>
  <si>
    <t>All other cases</t>
  </si>
  <si>
    <t>Never</t>
  </si>
  <si>
    <t>Model slightly too high</t>
  </si>
  <si>
    <t>50-100K</t>
  </si>
  <si>
    <t>If total&lt;60K and uneven split, e.g. 48K+8K</t>
  </si>
  <si>
    <t>100-500K</t>
  </si>
  <si>
    <t>If total&lt;110K and uneven split, e.g. 98K+8K</t>
  </si>
  <si>
    <t>Lower income and even split, e.g. 70K+40K</t>
  </si>
  <si>
    <t>Higher income and even split, e.g. 90K+60K</t>
  </si>
  <si>
    <t>Model too low</t>
  </si>
  <si>
    <t>500K+</t>
  </si>
  <si>
    <t>If total&lt;510K and uneven split, e.g. 498K+8K</t>
  </si>
  <si>
    <t>Lower income and uneven split, e.g. 450K+80K</t>
  </si>
  <si>
    <t>Lower income and even split, e.g. 300K+250K
OR any higher-income split with one spouse&gt;500K</t>
  </si>
  <si>
    <t>Model accurate or too low</t>
  </si>
  <si>
    <t>Amount</t>
  </si>
  <si>
    <t>CG tax</t>
  </si>
  <si>
    <t>Net capital gain (less loss) in AGI:  Number</t>
  </si>
  <si>
    <t>All returns</t>
  </si>
  <si>
    <t>Under
$1 [1]</t>
  </si>
  <si>
    <t>$1
under
$10,000</t>
  </si>
  <si>
    <t>$10,000
under
$25,000</t>
  </si>
  <si>
    <t>$25,000
under
$50,000</t>
  </si>
  <si>
    <t>$50,000
under
$75,000</t>
  </si>
  <si>
    <t>$75,000
under
$100,000</t>
  </si>
  <si>
    <t>$100,000
under
$200,000</t>
  </si>
  <si>
    <t>$200,000
under
$500,000</t>
  </si>
  <si>
    <t>$500,000
under
$1,000,000</t>
  </si>
  <si>
    <t>$1,000,000
or
more</t>
  </si>
  <si>
    <t>Pop</t>
  </si>
  <si>
    <t>Progressive school tax as described in SB 97</t>
  </si>
  <si>
    <t>Auditing and collecting additional revenue from current</t>
  </si>
  <si>
    <t>Progressive Tax as described in SB 97</t>
  </si>
  <si>
    <t>Capital Gains</t>
  </si>
  <si>
    <t>Capital Gains Tax Rate</t>
  </si>
  <si>
    <t>FY16ConferenceCommittee</t>
  </si>
  <si>
    <t>Remaining Permanent Fund Spendable Balance</t>
  </si>
  <si>
    <t>CBRF &amp; SBRF Total After Withdrawal/Contributions</t>
  </si>
  <si>
    <t>Default value</t>
  </si>
  <si>
    <t>Earning Rate</t>
  </si>
  <si>
    <t>Liquor</t>
  </si>
  <si>
    <t>Beer, Malt, Beverage &amp; Cider</t>
  </si>
  <si>
    <t>Wine</t>
  </si>
  <si>
    <t>Beer, Small Brewery</t>
  </si>
  <si>
    <t>Gallons in 2014</t>
  </si>
  <si>
    <t>Additional revenue</t>
  </si>
  <si>
    <t>Taxable Cigarettes</t>
  </si>
  <si>
    <t>Taxable Wholesale Value of Tobacco Products</t>
  </si>
  <si>
    <t>Current taxes</t>
  </si>
  <si>
    <t>Per Cigarette</t>
  </si>
  <si>
    <t>Wholesale upcharge</t>
  </si>
  <si>
    <t>Sin Tax</t>
  </si>
  <si>
    <t>Alcohol Tax</t>
  </si>
  <si>
    <t>Increase</t>
  </si>
  <si>
    <t>Tobacco Tax other tobacco products</t>
  </si>
  <si>
    <t>Tobacco  Tax cigarette tax</t>
  </si>
  <si>
    <t>Ambler Road</t>
  </si>
  <si>
    <t>Funding</t>
  </si>
  <si>
    <t>Benefits</t>
  </si>
  <si>
    <t>Marijuana Tax Per Oz</t>
  </si>
  <si>
    <t>Marijuana Tax</t>
  </si>
  <si>
    <t>Tax per oz</t>
  </si>
  <si>
    <t xml:space="preserve">Marijuana </t>
  </si>
  <si>
    <t>Juneau Road</t>
  </si>
  <si>
    <t>Total Benefits</t>
  </si>
  <si>
    <t>Half Per Barrel Credit</t>
  </si>
  <si>
    <t>Cig</t>
  </si>
  <si>
    <t>Other t</t>
  </si>
  <si>
    <t>MJ</t>
  </si>
  <si>
    <t>2.65 MILLS</t>
  </si>
  <si>
    <t>Capital Gains Tax</t>
  </si>
  <si>
    <t>Auditing and collecting additional revenue from current Taxes</t>
  </si>
  <si>
    <t>Market size</t>
  </si>
  <si>
    <t>50% wholesale</t>
  </si>
  <si>
    <t>E-cig</t>
  </si>
  <si>
    <t>E-Cig</t>
  </si>
  <si>
    <t>Include  E-Cigs in other tobacco products</t>
  </si>
  <si>
    <t>Include E-Cigs in the Other Tobacco Products Tax</t>
  </si>
  <si>
    <t>Minimum Tax - Current 4%</t>
  </si>
  <si>
    <t>Increase in the max rate of corporate income tax</t>
  </si>
  <si>
    <t>Tobacco Tax Increase Per Cigarette tax</t>
  </si>
  <si>
    <t>Tobacco Tax Increase Other Tobacco Products</t>
  </si>
  <si>
    <t>Net Severance Tax</t>
  </si>
  <si>
    <t>Endowment</t>
  </si>
  <si>
    <t>Endowment @ X%</t>
  </si>
  <si>
    <t>Collateralize and Securitize - Endowment &amp; Status Quo</t>
  </si>
  <si>
    <t>Endowment (5 yr smoothing)</t>
  </si>
  <si>
    <t>APFC - Endowment</t>
  </si>
  <si>
    <t>Endowment Calc Balance 5 yr</t>
  </si>
  <si>
    <t>5% Endowment (5 yr smoothing)</t>
  </si>
  <si>
    <t>4% Endowment (5 yr smoothing)</t>
  </si>
  <si>
    <t>Endowment 5%</t>
  </si>
  <si>
    <t>Endowment Values</t>
  </si>
  <si>
    <t>FY 20</t>
  </si>
  <si>
    <t>FY 21</t>
  </si>
  <si>
    <t>FY 22</t>
  </si>
  <si>
    <t>FY 23</t>
  </si>
  <si>
    <t>FY 24</t>
  </si>
  <si>
    <t>FY 25</t>
  </si>
  <si>
    <t>FY 26</t>
  </si>
  <si>
    <t>FY 27</t>
  </si>
  <si>
    <t>FY 28</t>
  </si>
  <si>
    <t>FY 29</t>
  </si>
  <si>
    <t>FY 30</t>
  </si>
  <si>
    <t>Difference</t>
  </si>
  <si>
    <t>AK LNG Project Cost</t>
  </si>
  <si>
    <t>AKLNG Project Rev</t>
  </si>
  <si>
    <t>Refunded - non-NS 023 (CFAL)</t>
  </si>
  <si>
    <t>Refunded - non-NS 023 (QCE/WLE)</t>
  </si>
  <si>
    <t>Carry-forward annual loss, AS 43.55.023(b)</t>
  </si>
  <si>
    <t>Qualified capital expenditure, AS 43.55.023(a) &amp; Well lease expenditure, AS 43.55.023(l)</t>
  </si>
  <si>
    <t>Qualified capital expenditure, AS 43.55.023(a)&amp; Well lease expenditure, AS 43.55.023(l)</t>
  </si>
  <si>
    <t>The model uses data on sales by industry from the 2007 economic census, which is likely an underestimate of today's economic activity.  Assumes food, fuel, repair labor, arts and culture, fitness centers, hunting and fishing guide services, and security services would be exempt from the tax; these assumptions are adjustable in the model.  Does not currently include elasticity estimates, and therefore does not account for potential deadweight loss to the economy from a sales tax.</t>
  </si>
  <si>
    <t>A uniform rate increase in both the Fishery Resource Landing Tax and the Fisheries Business Tax.  The model calculates the FRLT and FBT tax bases from current and forecasted collections, then applies the desired rate increase to the tax base.  For instance, the current average FBT rate (weighted by payer) is 3.2%; with a rate increase of 1%, this would rise to 4.2%.  Assumes the additional revenue from the rate increase would all go to the state, rather than being shared with municipalities.</t>
  </si>
  <si>
    <t>A uniform increase in the motor fuel tax across all types of fuel.  For instance, if the increase is 1 cent per gallon, then the tax on highway fuel would rise from 8 to 9 cents per gallon and the tax on jet fuel would rise from 3.2 to 4.2 cents per gallon.  Analysis assumes an average fuel price of $3.50 per gallon and a price elasticity of demand equal to -0.2, and maintains all current motor fuel exemptions.</t>
  </si>
  <si>
    <r>
      <t xml:space="preserve">Alaska's current corporate income tax has ten brackets, ranging from 0% to 9.4%.  This model deals with an increase in </t>
    </r>
    <r>
      <rPr>
        <b/>
        <sz val="11"/>
        <color theme="1"/>
        <rFont val="Calibri"/>
        <family val="2"/>
        <scheme val="minor"/>
      </rPr>
      <t>only</t>
    </r>
    <r>
      <rPr>
        <sz val="11"/>
        <color theme="1"/>
        <rFont val="Calibri"/>
        <family val="2"/>
        <scheme val="minor"/>
      </rPr>
      <t xml:space="preserve"> the maximum rate, with the other nine brackets unchanged.  However, a change in the maximum rate would affect the great majority of corporate income taxed in Alaska.  This is because the 9.4% maximum rate is charged on all income above $222,000, and over 90% of Alaska corporate income tax comes from corporations whose Alaska-specific income is more than $222,000.</t>
    </r>
  </si>
  <si>
    <t>A personal income tax assessed as a flat percentage of the taxpayer's federal income tax liability.  This method would preserve the federal structure with respect to progressivity and deductions, as well as minimizing paperwork.  The model is based on 2012 Alaska-specific IRS data and 2013 federal IRS data.  The model assumes baseline Alaska economic growth of 2.35%, which is the average US-wide economic growth in 2014 and the first quarter of 2015.  It also assumes that marginal income tax rates have a coefficient of -0.3 on economic growth rates.  These assumptions are adjustable in the model.</t>
  </si>
  <si>
    <t>Implement a statewide lottery similar to those in other states.  Conservatively assumes initial-year lottery proceeds of $8 million, which is based on the lowest lottery proceeds per capita among all states with a lottery.  Assumes 4% annual growth in lottery proceeds (the US average over the past three years is closer to 5%).  Does not account for potential impacts on existing charitable gaming.</t>
  </si>
  <si>
    <t>Each person would have the option to put half of his or her Permanent Fund Dividend in a lottery.  Of the total amount entered in the lottery, the state would keep half and the other half would be paid out to the lottery winner(s).  The model currently assumes 10% of PFD recipients would choose the lottery option. Does not account for potential impacts on existing charitable gaming.</t>
  </si>
  <si>
    <t>Implement an across-the-board increase to existing charitable gaming taxes and fees (currently, 3% pull-tab tax; 1% net proceeds fee; licensing and permitting fees). Assumes no changes in activity.</t>
  </si>
  <si>
    <t>Legalize independent gaming establishments which offer only card games.  The current model is based on a 2005 proposal which would have allowed one card room per 30,000 residents in a borough (i.e., a borough with fewer than 30,000 residents is not allowed a card room).  It assumes 10 card rooms would open with an average of 15 tables each.  The annual fee would be $10,000 per card room and an additional $10,000 per table. Does not account for potential impacts on existing charitable gaming.</t>
  </si>
  <si>
    <t>Legalize a single Vegas-style casino, with limitations on size.  The model assumes 735,000 casino visits per year. This works out to roughly one visit per Alaska resident per year, though many of the visitors would likely be tourists; or, roughly 2,000 visits per day which would be a modest size casino by Lower-48 standards where casinos can draw in excess of 10,000 visits per day.  Also, assumes that the casino revenue per visit would be $40, and the state would take 33% of casino revenue; both of these amounts are in the range of observations in other states. Does not account for potential impacts on existing charitable gaming.  Actual revenue could be higher with larger casinos or more than one casino.</t>
  </si>
  <si>
    <t>A uniform rate increase in the Mining License Tax.  The model calculates the MLT base from current and forecasted collections, then applies the desired rate increase to the tax base.  For instance, the current average MLT rate is 6.99% (weighted by payer); if the rate increase was 1%, this would rise to 7.99%.</t>
  </si>
  <si>
    <t>A lump-sum tax on every working Alaskan, for example, $100 per person.</t>
  </si>
  <si>
    <t>The tax would be $100 per person making $10,000 to $49,999, $200 per person making $50,000 to $99,999, $300 per person making $100,000 to $499,999, and $500 per person making $500,000 or more.  The model is based on IRS data about the number of returns in each income category in Alaska in 2012.</t>
  </si>
  <si>
    <t>A state tax on real property similar to those used to fund many municipal governments.  The model is based on a 2014 Department of Commerce report that the taxable value of property in Alaska was $108.6 billion and increased an average of 2.1% in the past 5 years.  This tax would be applied in addition to any existing municipal tax. The option to include AS 43.56 refers to oil and gas property, which already has a separate tax.</t>
  </si>
  <si>
    <t>A uniform percentage increase in the alcohol tax.  The current taxes per gallon are $1.07 for regular beer, $0.35 for small-brewery beer, $2.50 for wine, and $12.80 for hard liquor.  With a 10% increase in the alcohol tax, each of those per-gallon amounts would be multiplied by 1.1.  The model does not account for demand impact of tax changes, and assumes the number of gallons of alcohol purchased will increase over time in proportion to population.</t>
  </si>
  <si>
    <t>A per-unit increase in the cigarette tax.  The current tax is $2 per pack or $0.10 per cigarette; a 4-cent increase would raise the tax to $0.14 per cigarette, or $2.80 per pack.  The model does not account for demand impact of tax changes, and assumes cigarette sales will decline roughly 4% per year, consistent with the recent average in Alaska, although cigarette sale decline rates fluctuate from year to year.</t>
  </si>
  <si>
    <t>A percentage-point increase in the tax on other tobacco products.  The current tax is 75% of wholesale value, so an increase of 25 percentage points would raise the tax to 100%.  The model assumes the value of other tobacco products will grow at 3 to 4% per year, consistent with the recent average in Alaska, though OTP growth rates fluctuate from year to year.  It does not account for the demand impact of the tax increase.</t>
  </si>
  <si>
    <t>Rise in Alcohol Tax</t>
  </si>
  <si>
    <t>Tobacco Tax Increase Per Cigarette</t>
  </si>
  <si>
    <t>Currently the state engages in a classic portfolio approach to investing its assets.  The returns from these investments are placed into three “buckets,” inflation proofing, permanent fund dividends and the earnings reserve.</t>
  </si>
  <si>
    <t>Securitization Revenues</t>
  </si>
  <si>
    <t>A tax modeled after the one in Vermont, which taxes revenue of hospitals, nursing homes, intermediate care facilities for the mentally disabled, home health care, and outpatient pharmacies.  It would be a flat rate tax (e.g., 1%) on taxable provider revenue.  The model calculates initial revenue in FY 2016 by multiplying the values in Vermont by the Alaska-to-Vermont ratio of population and health care costs.  It then assumes state revenue will increase at the rate of inflation, which may be an underestimate given that health care spending tends to outpace inflation.</t>
  </si>
  <si>
    <t>Remove Depletion  Allowance</t>
  </si>
  <si>
    <t>Credits that are not taken against tax liability and must be appropriated in the operating budget. Removal of any refunded credits is a reduction in the budget in the model.</t>
  </si>
  <si>
    <t xml:space="preserve">Credits that are taken against tax liability. Removing any credits used against tax liability increases revenue in the model. </t>
  </si>
  <si>
    <t xml:space="preserve">The QCE credit is for 20% of qualified capital expenditures. This credit sunset for the North Slope only on 12/31/2013. The Carry-forward credit changed in 2014 from 25% of a carried-forward annual loss statewide, to 25% everywhere besides the North Slope, where the credit is 45% until it decreases in 2016 to 35%. Both credits began in 2006. Beginning in 2010, The WLE credit is for 20% of qualified well lease expenditures and can be taken in conjunction with QCE credits.
</t>
  </si>
  <si>
    <t>The QCE credit is for 20% of qualified capital expenditures. This credit sunset for the North Slope only on 12/31/2013. The Carry-forward credit changed in 2014 from 25% of a carried-forward annual loss statewide, to 25% everywhere besides the North Slope, where the credit is 45% until it decreases in 2016 to 35%. Both credits began in 2006.</t>
  </si>
  <si>
    <t>This includes the Alternative Credit for Exploration, which is 30% or 40% for different seismic or drilling costs. It began in 2003 and sunsets 6/30/2016 for North Slope.</t>
  </si>
  <si>
    <t>The QCE credit is for 20% of qualified capital expenditures. This credit sunset for the North Slope only on 12/31/2013. The Carry-forward credit changed in 2014 from 25% of a carried-forward annual loss statewide, to 25% everywhere besides the North Slope, where the credit is 45% until it decreases in 2016 to 35%. Both credits began in 2006. Beginning in 2010, The WLE credit is for 20% of qualified well lease expenditures and can be taken in conjunction with QCE credits.</t>
  </si>
  <si>
    <t xml:space="preserve">These include the Alternative Credit for Exploration (see above), which sunsets 6/30/2016 for Cook Inlet and 12/31/2021 for Middle Earth; the Cook-Inlet Jack-Up Rig Credit, which is a credit for exploration expenses in to Cook Inlet that began in 2010 and sunsets in 6/30/2016; and the Frontier Basin credit, which is a credit for expenses for exploration in the "Frontier Basins." This credit began in 2010 and sunsets on 6/30/2016. </t>
  </si>
  <si>
    <t>These include the Oil and Gas Service Industry Expenditures Credit (2013), the Gas Exploration and Development Credit (2003), the In-State Refinery Tax Credit (2014), the Gas Storage Facility Credit (2010), and the LNG Storage Facility Credit (2012).</t>
  </si>
  <si>
    <t xml:space="preserve">Beginning in 2014, for areas of the North Slope that are not eligible for a gross value reduction (GVR), the credit is a dollar-per-taxable-barrel credit ranging from $0 to $8 based on the gross value of the point of production. For areas of the North Slope that do qualify for the GVR, the credit is $5 per taxable barrel. </t>
  </si>
  <si>
    <t xml:space="preserve">Beginning in 2006, producers with no more than 50,000 BTU equivalent barrels per day receive a credit capped at a maximum of $12 million per year. As production exceeds that amount, the credit phases to zero for producers approaching 100,000 or more BTU equivalent barrels per day. As long as they qualify, producers can take this credit for up to nine years of production. In 2016 the credit program will stop accepting new producers. </t>
  </si>
  <si>
    <t>Credit estimates are based on the spring 2015 forecast, and these estimates do vary with price if an alternate price forecast is selected. Forecasts are aggregated based on company-specific modeling, and do not account for any possible changes in production or investment compared to the spring forecast.  Importantly, the forecast primarily only includes investment and production for projects that meet DOR thresholds for inclusion; therefore, credit impacts in later years could exceed amounts shown if additional investments or production are announced.</t>
  </si>
  <si>
    <t>Currently, a surcharge is levied in the amount of 5 cents per barrel of taxable oil, with the revenue supporting prevention and response programs for oil and other hazardous substance spills.  This revenue option would increase the surcharge by up to 25 cents per taxable barrel, with revenue to the General Fund.  Assumes production as forecast in the spring 2015 revenue forecast.</t>
  </si>
  <si>
    <t xml:space="preserve">SB 21 implemented a gross minimum tax of 4% of GVPP. The per-taxable barrel credits cannot be used to reduce a taxpayer’s production tax liability below the minimum tax. However, the application of other credits may reduce a taxpayer’s tax liability to zero. </t>
  </si>
  <si>
    <t xml:space="preserve">A component of SB 21 incentivizing the development of new production areas, the Gross Value Reduction (GVR) excludes 20% of the gross value at the point of production (GVPP) from the tax calculation. Areas surrounding a currently producing area that may be otherwise uneconomic to produce as well as new oil pools that have not yet been discovered or developed qualify for the reduction. </t>
  </si>
  <si>
    <t>Even though under statute there is a tax of 35% of production tax value on Cook Inlet oil and gas, the tax rates for oil and gas production in Cook Inlet are capped at the amount of the tax rate imposed on each lease or property during the period of April 1, 2005 through March 31, 2006 under ELF, or the Economic Limit Factor. This tax cap will be in place until Calendar Year 2022.</t>
  </si>
  <si>
    <t>A debt mechanism in which the state would acquire debt and reinvest it alongside the current permanent fund portfolio.  The difference between the cost of debt and return on equity would be used to finance the states PERS/TRS obligations that currently are paid from budget appropriations.</t>
  </si>
  <si>
    <t>Current PF Revenue Payout Methodology through earnings reserve</t>
  </si>
  <si>
    <t>This is a methodology which would alter the current PF payout methodology.  Currently, the earnings of the fund determine the amount available for appropriation.  Under the current system the earnings are used for inflation proofing the PF, paying permanent fund dividends or they are retained indefinitely. The Endowment methodology uses the earnings for the General Fund. The size of the payout is based on the balance of the fund.  The primary difference between the Current and the Endowment methodologies is that under the endowment methodology, payouts become more certain and the underlying fund balance absorbs the risk of asset performance.  Current payout methodology is the exact opposite, with the payout containing the risk of asset performance and the balance of the fund being stable.</t>
  </si>
  <si>
    <t>The percent of the Permanent Fund balance under the Endowment method which legislatures have the option of allocating.</t>
  </si>
  <si>
    <t>The amount of yearly earnings from the Permanent Fund the legislature has the ability to appropriate to the General Fund.  Currently, this revenue is being reinvested within the earnings reserve.</t>
  </si>
  <si>
    <t>A limit on the yearly payout of the current Permanent Fund Dividend Program.  This is not the dividend amount, but the threshold the payout cannot exceed.</t>
  </si>
  <si>
    <t>When the state collateralizes the Permanent Fund it will have a distribution of potential future cash flows.  The process of securitization would sell a discounted value of these cash flows and cash flow uncertainty for a lump sum.  This instrument would remove the collateralized debt from the SOA balance sheet.</t>
  </si>
  <si>
    <t> A Senate bill that proposes to allocate all of the non-restricted royalties (74.5%) to a dividend program, replacing the current dividend program. This will pay a $1,000 per person minimum. The earnings reserve of the Permanent Fund becomes available for General Fund expenditure.</t>
  </si>
  <si>
    <t> As a companion to AK LNG, a hydroelectric project that electrifies the AK LNG transportation and liquefaction process, thereby, freeing 13% additional natural gas sales.</t>
  </si>
  <si>
    <t>Clicking on tab assumes project is approved. Assumptions based on project manager’s interview. Only net impact on General Fund reflected in model.</t>
  </si>
  <si>
    <t>The percentage of the Permanent Fund used as collateral for debt. This is  capped at 20%.</t>
  </si>
  <si>
    <t>This tax is based on the 2006 “Alaska Gas Line Now! Initiative.”  It assumes AK LNG production begins in 2026.  This tax would be implemented on major North Slope gas fields.  Until a gas line is developed the state will levy a tax of 3 cents per 1000 cubic feet of natural gas reserves.  Once the pipeline is operational the tax will become a credit valued at 50% of non-royalty production.  This credit will sunset once all tax losses have been recouped by producers.</t>
  </si>
  <si>
    <t>Remove Depletion Allowance</t>
  </si>
  <si>
    <t>AKLNG Project</t>
  </si>
  <si>
    <t xml:space="preserve">This option causes the $25 annual user fee required by the Deficit Reduction Act of 2005 to be paid by the parties paying/receiving child support and not be covered by state funds. </t>
  </si>
  <si>
    <t>Currently, the net tax rate for North Slope oil production is 35% of production tax value.  This revenue option would increase the tax rate. Assumes production and lease expenditures as forecast in the spring 2015 revenue forecast.  Also assumes no change to other tax provisions such as minimum tax and credits.</t>
  </si>
  <si>
    <t>The state would acquire debt using a portion of its assets as collateral. This collateral would be the only asset at risk (i.e. it would not be recourse to the Permanent Fund or to the SOA). The capital raised would be reinvested alongside the current permanent fund portfolio.  After annual interest payments, the difference between the cost of debt and return on equity would be allocated to the state or the principle of the Permanent Fund.  The model assumes all the earnings net of interest payments are placed into general fund.</t>
  </si>
  <si>
    <t>Rise in Alcohol Tax (% increase across all taxed items)</t>
  </si>
  <si>
    <t>Values in Million Nominal Dollars</t>
  </si>
  <si>
    <t>Total Additional Revenue Generated (In Billions)</t>
  </si>
  <si>
    <t>A liquefied natural gas export project which aims to market North Slope gas to non-domestic buyers.  The project has four non state partners, BP, Conoco Phillips, Exxon Mobil and TransCanada. Clicking on tab assumes project is approved and completed. Assumptions based on economic models from project consultants. Only net impact on General Fund reflected in model.  State is assumed to finance its portion of the project using a 70/30 debt to equity ratio.</t>
  </si>
  <si>
    <t>Assumptions made from internal analysis on uncollected funds.</t>
  </si>
  <si>
    <t>This option would entirely remove the depletion allowance from the calculation of Mining License Tax liability. Currently, mines are allowed to deduct a percentage of gross value each year for depletion of the resource in calculating their net income subject to taxation.  The statutory limit on depletion is 50% of net income. This estimate assumes that all mines are taking depletion to the 50% maximum, and that MLT revenue would therefore double; actual impacts may be somewhat less depending on depletion taken in future years.</t>
  </si>
  <si>
    <t xml:space="preserve">A statute, originally adopted by the Territorial Legislature as SLA 1949, Ch. 43 and eventually codified as AS 43.70.020 contained a provision for a gross receipts tax that was repealed in 1980.  In addition to a fee for a business license, there was a provision requiring a sum equal to ½ of 1% of the gross receipts of a business in excess of $20,000 during the income year for which the business license was issued.  Some sources of revenue were excluded such as charitable contributions, hospital receipts, municipal utilities, etc.   
The FY 1979 State of Alaska Annual financial Report indicates that the business license and gross receipts revenue for 1980 amounted to $28,158,051. Since 1980 Alaska’s State Product has grown from about $25 billion to about $59 billion, or about 2.3 times   Assuming $25 million of the 1979 revenues were gross receipts revenues, I estimate a similar tax would generate $57 million per year (2.3 x $25 million).
</t>
  </si>
  <si>
    <t>Projected Receipts Tax @ .5%</t>
  </si>
  <si>
    <t>State Growth Rate</t>
  </si>
  <si>
    <t>Gross Receipts</t>
  </si>
  <si>
    <t>Gross Receipts Tax</t>
  </si>
  <si>
    <t xml:space="preserve">Increase in the max rate of corporate income tax </t>
  </si>
  <si>
    <t xml:space="preserve">A flat-rate tax on capital gains as reported on federal income tax returns.  The current model is based on 2012 IRS data for Alaska and is somewhat speculative because it does not account for possible market changes (i.e. capital losses), or potential for changes in behavior to reduce or avoid capital gains taxes. </t>
  </si>
  <si>
    <t>Increase in the current $50 per ounce tax rate on marijuana.  Current projections are speculative and assume revenue will commence at $5.7 million per year and increase in proportion to population.  The model is based on survey data about the number of marijuana users by age group and Census data about the age distribution in Alaska.  (Marijuana sales are only legal to people over 21.)  No adjustments are made for demand impacts of higher taxes.</t>
  </si>
  <si>
    <t>Clicking on tab assumes project is approved. Assumptions based on project managers interview. Only net impact on General Fund reflected in model. Interview. Only net impact on General Fund reflected in model.</t>
  </si>
  <si>
    <t>Extends state taxation to e-cigarettes under the "Other Tobacco Products" tax; currently they are untaxed.  The model assumes a current wholesale value of e-cigarettes of $3.5 million per year, with e-cigarette sales growth of 24% per year until 2018 and  a 25% decline in the growth rate thereafter. Current value and growth are based on national estimates and assume that Alaska's share of the national e-cigarette market will be proportional to its population.</t>
  </si>
  <si>
    <t>A statute, originally adopted by the Territorial Legislature as SLA 1949, Ch. 43 and eventually codified as AS 43.70.020 contained a provision for a gross receipts tax that was repealed in 1980.  In addition to a fee for a business license, there was a provision requiring a sum equal to ½ of 1% of the gross receipts of a business in excess of $20,000 but less then $100,000 and a sum equal to 1/4 of 1% of gross receipts over $100,000 during each income year.</t>
  </si>
  <si>
    <t>DISCLAIMER: The revenue options and budget cut options have not been reviewed by the Department of Law and might not be implementable.  All numbers are for demonstrative purposes only and might not reflect actual changes in revenue or budget.</t>
  </si>
  <si>
    <t>Background Color Key</t>
  </si>
  <si>
    <t>Title:</t>
  </si>
  <si>
    <t>Purpose:</t>
  </si>
  <si>
    <t>Disclaimer:</t>
  </si>
  <si>
    <t xml:space="preserve">The Department of Revenue is in the process of reviewing and updating the data on which this analysis is based.  As a result, future analysis could have different results.  </t>
  </si>
  <si>
    <t xml:space="preserve">Prepared by: </t>
  </si>
  <si>
    <t>Revenue and Expenditures Model</t>
  </si>
  <si>
    <t>Timothy E. Harper (DOR)</t>
  </si>
  <si>
    <t>Wyatt Oney Perry (DOR)</t>
  </si>
  <si>
    <t>David W. Herbert (DOR)</t>
  </si>
  <si>
    <t>The purpose of this model is to demonstrate impacts of various revenue and expenditures options.  These impacts are shown over a 15 year period.</t>
  </si>
  <si>
    <t>The revenue options and budget cut options have not been reviewed by the Department of Law and might not be implementable.  All numbers are for demonstrative purposes only and might not reflect actual changes in revenue or budget.</t>
  </si>
  <si>
    <t>Contact Information:</t>
  </si>
  <si>
    <t>wyatt.perry@alaska.gov</t>
  </si>
  <si>
    <t>david.herbert@alaska.gov</t>
  </si>
  <si>
    <t>Initial inputs</t>
  </si>
  <si>
    <t>Tax Component</t>
  </si>
  <si>
    <t>Gas reserves total (cubic feet)</t>
  </si>
  <si>
    <t>Gas reserves - set at 87.5% (less 12.5% royalty gas) (cubic feet)</t>
  </si>
  <si>
    <t xml:space="preserve">Tax (cents per thousand cubic feet) </t>
  </si>
  <si>
    <t>Credit Component</t>
  </si>
  <si>
    <t>Credit for producing (50% non-royalty production revenue to state until tax payment is recouped by company)</t>
  </si>
  <si>
    <t>Percentage of yearly tax liability credited to recoup reserves tax</t>
  </si>
  <si>
    <t>Assumptions</t>
  </si>
  <si>
    <t>Based on 2006 "Alaska Gas Line Now! Initiative"</t>
  </si>
  <si>
    <t>AK LNG comes on 2026</t>
  </si>
  <si>
    <t>Assumes credit kicks in with production of 2 billion cubic meters per day</t>
  </si>
  <si>
    <t>Company gives back the lease, if it doesn't opt to pay tax</t>
  </si>
  <si>
    <t>initial units</t>
  </si>
  <si>
    <t>initial reserves (cubic feet)</t>
  </si>
  <si>
    <t>royalty rate</t>
  </si>
  <si>
    <t>cents per thousand cubic feet</t>
  </si>
  <si>
    <t>dollars for non-royalty state take</t>
  </si>
</sst>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0_);_(* \(#,##0.0\);_(* &quot;-&quot;?_);_(@_)"/>
    <numFmt numFmtId="166" formatCode="#,##0.0_);[Red]\(#,##0.0\)"/>
    <numFmt numFmtId="167" formatCode="0.0%"/>
    <numFmt numFmtId="168" formatCode="[$-409]mmmm\ d\,\ yyyy;@"/>
    <numFmt numFmtId="169" formatCode="_(&quot;$&quot;* #,##0_);_(&quot;$&quot;* \(#,##0\);_(&quot;$&quot;* &quot;-&quot;??_);_(@_)"/>
    <numFmt numFmtId="170" formatCode="_(* #,##0_);_(* \(#,##0\);_(* &quot;-&quot;??_);_(@_)"/>
    <numFmt numFmtId="171" formatCode="0.0"/>
    <numFmt numFmtId="172" formatCode="0.00;[Red]0.00"/>
    <numFmt numFmtId="173" formatCode="_ * #,##0_)_$_ ;_ * \(#,##0\)_$_ ;_ * &quot;-&quot;_)_$_ ;_ @_ "/>
    <numFmt numFmtId="174" formatCode="#,##0;\(#,##0\);0"/>
    <numFmt numFmtId="175" formatCode="#,##0.0;\(#,##0.0\);0"/>
    <numFmt numFmtId="176" formatCode="#,##0.00;\(#,##0.00\);0"/>
    <numFmt numFmtId="177" formatCode="#,##0.000000;\(#,##0.000000\);0"/>
    <numFmt numFmtId="178" formatCode="#,##0.00000000;\(#,##0.00000000\);0"/>
    <numFmt numFmtId="179" formatCode="&quot;$&quot;#,##0.00;[Red]\(&quot;$&quot;#,##0.00\);0"/>
    <numFmt numFmtId="180" formatCode="&quot;$&quot;#,##0.000;[Red]\(&quot;$&quot;#,##0.000\);0"/>
    <numFmt numFmtId="181" formatCode="0.00_)"/>
    <numFmt numFmtId="182" formatCode="0.000000_)"/>
    <numFmt numFmtId="183" formatCode="General_)"/>
    <numFmt numFmtId="184" formatCode="&quot;$&quot;#,##0"/>
    <numFmt numFmtId="185" formatCode="_([$$-409]* #,##0.0_);_([$$-409]* \(#,##0.0\);_([$$-409]* &quot;-&quot;?_);_(@_)"/>
    <numFmt numFmtId="186" formatCode="[$$-409]\ #,##0"/>
    <numFmt numFmtId="187" formatCode="#,##0.0"/>
    <numFmt numFmtId="188" formatCode="#,##0.0000"/>
    <numFmt numFmtId="189" formatCode="#,##0.0;\-#,##0.0;0.0"/>
    <numFmt numFmtId="190" formatCode="_(* #,##0.0_);_(* \(#,##0.0\);;_(@_)"/>
    <numFmt numFmtId="191" formatCode="&quot;$&quot;#,##0.00"/>
    <numFmt numFmtId="192" formatCode="_([$€-2]* #,##0.00_);_([$€-2]* \(#,##0.00\);_([$€-2]* &quot;-&quot;??_)"/>
    <numFmt numFmtId="193" formatCode="#,###"/>
    <numFmt numFmtId="194" formatCode="#,###;[Red]\(#,###\)"/>
    <numFmt numFmtId="195" formatCode="0_);\(0\)_)"/>
    <numFmt numFmtId="196" formatCode="00"/>
    <numFmt numFmtId="197" formatCode="#,##0;[Red]#,##0"/>
    <numFmt numFmtId="198" formatCode="0.00000%"/>
    <numFmt numFmtId="199" formatCode="0_);\(0\)"/>
    <numFmt numFmtId="200" formatCode="#,##0\ ;\(#,##0\)"/>
    <numFmt numFmtId="201" formatCode="0.000%"/>
    <numFmt numFmtId="202" formatCode="#,##0;\-#,##0;0;@"/>
    <numFmt numFmtId="203" formatCode="&quot;        &quot;@"/>
    <numFmt numFmtId="204" formatCode="&quot;    &quot;@"/>
    <numFmt numFmtId="205" formatCode="_(* #,##0_);_(* \(#,##0\);_(* &quot;-&quot;?_);_(@_)"/>
    <numFmt numFmtId="206" formatCode="0.0000000000000000"/>
  </numFmts>
  <fonts count="172">
    <font>
      <sz val="11"/>
      <color theme="1"/>
      <name val="Calibri"/>
      <family val="2"/>
      <scheme val="minor"/>
    </font>
    <font>
      <sz val="11"/>
      <color theme="1"/>
      <name val="Calibri"/>
      <family val="2"/>
      <scheme val="minor"/>
    </font>
    <font>
      <sz val="11"/>
      <color rgb="FFFF0000"/>
      <name val="Calibri"/>
      <family val="2"/>
      <scheme val="minor"/>
    </font>
    <font>
      <sz val="9"/>
      <color indexed="81"/>
      <name val="Tahoma"/>
      <family val="2"/>
    </font>
    <font>
      <b/>
      <sz val="9"/>
      <color indexed="81"/>
      <name val="Tahoma"/>
      <family val="2"/>
    </font>
    <font>
      <b/>
      <sz val="11"/>
      <color theme="1"/>
      <name val="Calibri"/>
      <family val="2"/>
      <scheme val="minor"/>
    </font>
    <font>
      <sz val="11"/>
      <color theme="1" tint="0.34998626667073579"/>
      <name val="Calibri"/>
      <family val="2"/>
      <scheme val="minor"/>
    </font>
    <font>
      <u val="singleAccounting"/>
      <sz val="11"/>
      <color theme="1"/>
      <name val="Calibri"/>
      <family val="2"/>
      <scheme val="minor"/>
    </font>
    <font>
      <sz val="12"/>
      <color theme="1"/>
      <name val="Calibri"/>
      <family val="2"/>
      <scheme val="minor"/>
    </font>
    <font>
      <sz val="16"/>
      <color theme="1"/>
      <name val="Calibri"/>
      <family val="2"/>
      <scheme val="minor"/>
    </font>
    <font>
      <b/>
      <sz val="16"/>
      <color theme="1"/>
      <name val="Calibri"/>
      <family val="2"/>
      <scheme val="minor"/>
    </font>
    <font>
      <b/>
      <sz val="11"/>
      <color indexed="8"/>
      <name val="Calibri"/>
      <family val="2"/>
      <scheme val="minor"/>
    </font>
    <font>
      <b/>
      <u/>
      <sz val="11"/>
      <color indexed="8"/>
      <name val="Calibri"/>
      <family val="2"/>
      <scheme val="minor"/>
    </font>
    <font>
      <b/>
      <u val="singleAccounting"/>
      <sz val="11"/>
      <color indexed="8"/>
      <name val="Calibri"/>
      <family val="2"/>
      <scheme val="minor"/>
    </font>
    <font>
      <u/>
      <sz val="11"/>
      <color theme="1"/>
      <name val="Calibri"/>
      <family val="2"/>
      <scheme val="minor"/>
    </font>
    <font>
      <sz val="9"/>
      <name val="Arial"/>
      <family val="2"/>
    </font>
    <font>
      <i/>
      <sz val="11"/>
      <color theme="1"/>
      <name val="Calibri"/>
      <family val="2"/>
      <scheme val="minor"/>
    </font>
    <font>
      <u/>
      <sz val="11"/>
      <color theme="10"/>
      <name val="Calibri"/>
      <family val="2"/>
      <scheme val="minor"/>
    </font>
    <font>
      <sz val="10"/>
      <name val="Helv"/>
    </font>
    <font>
      <b/>
      <sz val="11"/>
      <name val="Calibri"/>
      <family val="2"/>
      <scheme val="minor"/>
    </font>
    <font>
      <sz val="11"/>
      <name val="Calibri"/>
      <family val="2"/>
      <scheme val="minor"/>
    </font>
    <font>
      <sz val="10"/>
      <name val="Arial"/>
      <family val="2"/>
    </font>
    <font>
      <b/>
      <sz val="10"/>
      <name val="Arial"/>
      <family val="2"/>
    </font>
    <font>
      <u/>
      <sz val="10"/>
      <name val="Arial"/>
      <family val="2"/>
    </font>
    <font>
      <b/>
      <u/>
      <sz val="10"/>
      <name val="Arial"/>
      <family val="2"/>
    </font>
    <font>
      <sz val="10"/>
      <color rgb="FFFF0000"/>
      <name val="Arial"/>
      <family val="2"/>
    </font>
    <font>
      <sz val="11"/>
      <color indexed="8"/>
      <name val="Calibri"/>
      <family val="2"/>
    </font>
    <font>
      <sz val="11"/>
      <color indexed="9"/>
      <name val="Calibri"/>
      <family val="2"/>
    </font>
    <font>
      <sz val="11"/>
      <color indexed="22"/>
      <name val="Calibri"/>
      <family val="2"/>
    </font>
    <font>
      <sz val="10"/>
      <color indexed="12"/>
      <name val="Palatino"/>
      <family val="1"/>
    </font>
    <font>
      <sz val="10"/>
      <color indexed="12"/>
      <name val="Palatino"/>
    </font>
    <font>
      <sz val="10"/>
      <name val="Courier"/>
      <family val="3"/>
    </font>
    <font>
      <sz val="8"/>
      <name val="Times"/>
      <family val="1"/>
    </font>
    <font>
      <sz val="8"/>
      <name val="Times"/>
    </font>
    <font>
      <sz val="10"/>
      <name val="MS Sans Serif"/>
      <family val="2"/>
    </font>
    <font>
      <sz val="11"/>
      <color indexed="20"/>
      <name val="Calibri"/>
      <family val="2"/>
    </font>
    <font>
      <sz val="10"/>
      <name val="Tms Rmn"/>
    </font>
    <font>
      <b/>
      <sz val="11"/>
      <color indexed="52"/>
      <name val="Calibri"/>
      <family val="2"/>
    </font>
    <font>
      <b/>
      <sz val="11"/>
      <color indexed="9"/>
      <name val="Calibri"/>
      <family val="2"/>
    </font>
    <font>
      <b/>
      <sz val="11"/>
      <color indexed="22"/>
      <name val="Calibri"/>
      <family val="2"/>
    </font>
    <font>
      <sz val="9"/>
      <name val="Geneva"/>
      <family val="2"/>
    </font>
    <font>
      <sz val="9"/>
      <name val="Geneva"/>
    </font>
    <font>
      <sz val="10"/>
      <name val="Times New Roman"/>
      <family val="1"/>
    </font>
    <font>
      <sz val="1"/>
      <color theme="7" tint="0.59999389629810485"/>
      <name val="Arial"/>
      <family val="2"/>
    </font>
    <font>
      <sz val="12"/>
      <name val="Arial"/>
      <family val="2"/>
    </font>
    <font>
      <sz val="11"/>
      <color indexed="8"/>
      <name val="Perpetua"/>
      <family val="2"/>
    </font>
    <font>
      <b/>
      <sz val="12"/>
      <color indexed="32"/>
      <name val="Palatino"/>
      <family val="1"/>
    </font>
    <font>
      <b/>
      <sz val="12"/>
      <color indexed="32"/>
      <name val="Palatino"/>
    </font>
    <font>
      <sz val="10"/>
      <name val="Geneva"/>
      <family val="2"/>
    </font>
    <font>
      <sz val="10"/>
      <name val="Geneva"/>
    </font>
    <font>
      <i/>
      <sz val="11"/>
      <color indexed="23"/>
      <name val="Calibri"/>
      <family val="2"/>
    </font>
    <font>
      <sz val="8"/>
      <name val="Helv"/>
    </font>
    <font>
      <sz val="11"/>
      <color indexed="17"/>
      <name val="Calibri"/>
      <family val="2"/>
    </font>
    <font>
      <b/>
      <u/>
      <sz val="14"/>
      <name val="Tms Rmn"/>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u/>
      <sz val="10"/>
      <color theme="10"/>
      <name val="Arial"/>
      <family val="2"/>
    </font>
    <font>
      <sz val="11"/>
      <color indexed="62"/>
      <name val="Calibri"/>
      <family val="2"/>
    </font>
    <font>
      <sz val="10"/>
      <name val="Palatino"/>
      <family val="1"/>
    </font>
    <font>
      <sz val="10"/>
      <name val="Palatino"/>
    </font>
    <font>
      <sz val="11"/>
      <color indexed="52"/>
      <name val="Calibri"/>
      <family val="2"/>
    </font>
    <font>
      <sz val="11"/>
      <color indexed="60"/>
      <name val="Calibri"/>
      <family val="2"/>
    </font>
    <font>
      <b/>
      <i/>
      <sz val="16"/>
      <name val="Helv"/>
    </font>
    <font>
      <sz val="11"/>
      <color theme="1"/>
      <name val="Perpetua"/>
      <family val="2"/>
    </font>
    <font>
      <sz val="12"/>
      <color theme="1"/>
      <name val="Arial"/>
      <family val="2"/>
    </font>
    <font>
      <i/>
      <sz val="10"/>
      <color indexed="10"/>
      <name val="Helv"/>
    </font>
    <font>
      <b/>
      <sz val="11"/>
      <color indexed="63"/>
      <name val="Calibri"/>
      <family val="2"/>
    </font>
    <font>
      <b/>
      <sz val="10"/>
      <color indexed="8"/>
      <name val="Palatino"/>
      <family val="1"/>
    </font>
    <font>
      <b/>
      <sz val="10"/>
      <color indexed="8"/>
      <name val="Palatino"/>
    </font>
    <font>
      <b/>
      <i/>
      <sz val="10"/>
      <color indexed="16"/>
      <name val="Palatino"/>
      <family val="1"/>
    </font>
    <font>
      <b/>
      <i/>
      <sz val="10"/>
      <color indexed="16"/>
      <name val="Palatino"/>
    </font>
    <font>
      <b/>
      <sz val="12"/>
      <color indexed="12"/>
      <name val="Bookman Old Style"/>
      <family val="1"/>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u/>
      <sz val="12"/>
      <name val="Tms Rmn"/>
    </font>
    <font>
      <b/>
      <sz val="10"/>
      <name val="Tms Rmn"/>
    </font>
    <font>
      <b/>
      <sz val="18"/>
      <color indexed="56"/>
      <name val="Cambria"/>
      <family val="2"/>
    </font>
    <font>
      <b/>
      <sz val="18"/>
      <color indexed="62"/>
      <name val="Cambria"/>
      <family val="2"/>
    </font>
    <font>
      <b/>
      <sz val="11"/>
      <color indexed="8"/>
      <name val="Calibri"/>
      <family val="2"/>
    </font>
    <font>
      <sz val="11"/>
      <color indexed="10"/>
      <name val="Calibri"/>
      <family val="2"/>
    </font>
    <font>
      <sz val="11"/>
      <color theme="0" tint="-0.249977111117893"/>
      <name val="Calibri"/>
      <family val="2"/>
      <scheme val="minor"/>
    </font>
    <font>
      <b/>
      <vertAlign val="superscript"/>
      <sz val="12"/>
      <name val="Arial"/>
      <family val="2"/>
    </font>
    <font>
      <b/>
      <sz val="12"/>
      <name val="Arial"/>
      <family val="2"/>
    </font>
    <font>
      <b/>
      <sz val="14"/>
      <name val="Arial"/>
      <family val="2"/>
    </font>
    <font>
      <b/>
      <sz val="11"/>
      <name val="Arial"/>
      <family val="2"/>
    </font>
    <font>
      <b/>
      <i/>
      <sz val="10"/>
      <name val="Arial"/>
      <family val="2"/>
    </font>
    <font>
      <sz val="10"/>
      <color theme="1"/>
      <name val="Arial"/>
      <family val="2"/>
    </font>
    <font>
      <b/>
      <u/>
      <sz val="12"/>
      <color theme="1"/>
      <name val="Arial"/>
      <family val="2"/>
    </font>
    <font>
      <b/>
      <vertAlign val="superscript"/>
      <sz val="12"/>
      <color theme="1"/>
      <name val="Arial"/>
      <family val="2"/>
    </font>
    <font>
      <b/>
      <sz val="16"/>
      <name val="Arial"/>
      <family val="2"/>
    </font>
    <font>
      <sz val="12"/>
      <name val="Times New Roman"/>
      <family val="1"/>
    </font>
    <font>
      <sz val="11"/>
      <color indexed="8"/>
      <name val="Calibri"/>
      <family val="2"/>
      <scheme val="minor"/>
    </font>
    <font>
      <b/>
      <sz val="10"/>
      <name val="Times New Roman"/>
      <family val="1"/>
    </font>
    <font>
      <sz val="8"/>
      <name val="Times New Roman"/>
      <family val="1"/>
    </font>
    <font>
      <i/>
      <sz val="8"/>
      <name val="Times New Roman"/>
      <family val="1"/>
    </font>
    <font>
      <i/>
      <sz val="10"/>
      <name val="Times New Roman"/>
      <family val="1"/>
    </font>
    <font>
      <b/>
      <sz val="18"/>
      <color theme="1"/>
      <name val="Calibri"/>
      <family val="2"/>
      <scheme val="minor"/>
    </font>
    <font>
      <sz val="8"/>
      <color rgb="FF000000"/>
      <name val="Tahoma"/>
      <family val="2"/>
    </font>
    <font>
      <sz val="8"/>
      <name val="Arial"/>
      <family val="2"/>
    </font>
    <font>
      <b/>
      <sz val="14"/>
      <color theme="1"/>
      <name val="Calibri"/>
      <family val="2"/>
      <scheme val="minor"/>
    </font>
    <font>
      <sz val="12"/>
      <color indexed="12"/>
      <name val="Arial"/>
      <family val="2"/>
    </font>
    <font>
      <u/>
      <sz val="10"/>
      <color indexed="12"/>
      <name val="Arial"/>
      <family val="2"/>
    </font>
    <font>
      <b/>
      <i/>
      <sz val="12"/>
      <color indexed="8"/>
      <name val="Arial"/>
      <family val="2"/>
    </font>
    <font>
      <sz val="12"/>
      <color indexed="8"/>
      <name val="Arial"/>
      <family val="2"/>
    </font>
    <font>
      <b/>
      <sz val="8"/>
      <name val="Arial"/>
      <family val="2"/>
    </font>
    <font>
      <i/>
      <sz val="12"/>
      <color indexed="8"/>
      <name val="Arial"/>
      <family val="2"/>
    </font>
    <font>
      <sz val="19"/>
      <color indexed="48"/>
      <name val="Arial"/>
      <family val="2"/>
    </font>
    <font>
      <sz val="12"/>
      <color indexed="14"/>
      <name val="Arial"/>
      <family val="2"/>
    </font>
    <font>
      <sz val="10"/>
      <color theme="1"/>
      <name val="Calibri"/>
      <family val="2"/>
      <scheme val="minor"/>
    </font>
    <font>
      <sz val="18"/>
      <color theme="1"/>
      <name val="Calibri"/>
      <family val="2"/>
      <scheme val="minor"/>
    </font>
    <font>
      <sz val="10"/>
      <name val="Times"/>
      <family val="1"/>
    </font>
    <font>
      <b/>
      <sz val="18"/>
      <name val="Impact"/>
      <family val="2"/>
    </font>
    <font>
      <b/>
      <sz val="9"/>
      <name val="Times"/>
      <family val="1"/>
    </font>
    <font>
      <sz val="14"/>
      <name val="Impact"/>
      <family val="2"/>
    </font>
    <font>
      <b/>
      <sz val="8"/>
      <name val="Times"/>
      <family val="1"/>
    </font>
    <font>
      <i/>
      <sz val="8"/>
      <name val="Arial Narrow"/>
      <family val="2"/>
    </font>
    <font>
      <b/>
      <sz val="10"/>
      <name val="Times"/>
      <family val="1"/>
    </font>
    <font>
      <b/>
      <sz val="10"/>
      <name val="Arial Narrow"/>
      <family val="2"/>
    </font>
    <font>
      <sz val="12"/>
      <name val="Arial Narrow"/>
      <family val="2"/>
    </font>
    <font>
      <b/>
      <sz val="9"/>
      <name val="Arial Narrow"/>
      <family val="2"/>
    </font>
    <font>
      <sz val="9"/>
      <name val="Arial Narrow"/>
      <family val="2"/>
    </font>
    <font>
      <b/>
      <vertAlign val="superscript"/>
      <sz val="9"/>
      <name val="Arial Narrow"/>
      <family val="2"/>
    </font>
    <font>
      <b/>
      <u/>
      <sz val="9"/>
      <name val="Arial Narrow"/>
      <family val="2"/>
    </font>
    <font>
      <b/>
      <sz val="8"/>
      <name val="Arial Narrow"/>
      <family val="2"/>
    </font>
    <font>
      <sz val="8"/>
      <name val="Arial Narrow"/>
      <family val="2"/>
    </font>
    <font>
      <u/>
      <sz val="8"/>
      <name val="Arial"/>
      <family val="2"/>
    </font>
    <font>
      <vertAlign val="superscript"/>
      <sz val="9"/>
      <name val="Arial Narrow"/>
      <family val="2"/>
    </font>
    <font>
      <sz val="10"/>
      <name val="Times"/>
    </font>
    <font>
      <b/>
      <sz val="11"/>
      <name val="Arial Narrow"/>
      <family val="2"/>
    </font>
    <font>
      <sz val="11"/>
      <name val="Arial Narrow"/>
      <family val="2"/>
    </font>
    <font>
      <sz val="10"/>
      <name val="Arial Narrow"/>
      <family val="2"/>
    </font>
    <font>
      <sz val="9.5"/>
      <name val="Arial Narrow"/>
      <family val="2"/>
    </font>
    <font>
      <b/>
      <vertAlign val="superscript"/>
      <sz val="10"/>
      <name val="Arial Narrow"/>
      <family val="2"/>
    </font>
    <font>
      <b/>
      <sz val="9"/>
      <color indexed="16"/>
      <name val="Arial Narrow"/>
      <family val="2"/>
    </font>
    <font>
      <sz val="9"/>
      <name val="Times"/>
      <family val="1"/>
    </font>
    <font>
      <vertAlign val="superscript"/>
      <sz val="20"/>
      <color indexed="60"/>
      <name val="Impact"/>
      <family val="2"/>
    </font>
    <font>
      <b/>
      <vertAlign val="superscript"/>
      <sz val="20"/>
      <color indexed="60"/>
      <name val="Arial"/>
      <family val="2"/>
    </font>
    <font>
      <b/>
      <u/>
      <sz val="9"/>
      <name val="Arial"/>
      <family val="2"/>
    </font>
    <font>
      <b/>
      <vertAlign val="superscript"/>
      <sz val="14"/>
      <name val="Arial"/>
      <family val="2"/>
    </font>
    <font>
      <b/>
      <sz val="9"/>
      <name val="Arial"/>
      <family val="2"/>
    </font>
    <font>
      <b/>
      <u/>
      <vertAlign val="superscript"/>
      <sz val="14"/>
      <name val="Arial"/>
      <family val="2"/>
    </font>
    <font>
      <b/>
      <sz val="7.5"/>
      <name val="Arial"/>
      <family val="2"/>
    </font>
    <font>
      <sz val="9"/>
      <name val="Times New Roman"/>
      <family val="1"/>
    </font>
    <font>
      <u val="singleAccounting"/>
      <sz val="9"/>
      <name val="Arial"/>
      <family val="2"/>
    </font>
    <font>
      <b/>
      <i/>
      <sz val="9"/>
      <color indexed="18"/>
      <name val="Arial"/>
      <family val="2"/>
    </font>
    <font>
      <b/>
      <i/>
      <sz val="9"/>
      <color indexed="62"/>
      <name val="Arial Narrow"/>
      <family val="2"/>
    </font>
    <font>
      <u/>
      <sz val="12"/>
      <color indexed="12"/>
      <name val="Times New Roman"/>
      <family val="1"/>
    </font>
    <font>
      <u/>
      <sz val="10"/>
      <color indexed="12"/>
      <name val="Times New Roman"/>
      <family val="1"/>
    </font>
    <font>
      <i/>
      <sz val="10"/>
      <name val="Arial"/>
      <family val="2"/>
    </font>
    <font>
      <b/>
      <sz val="8"/>
      <color indexed="81"/>
      <name val="Tahoma"/>
      <family val="2"/>
    </font>
    <font>
      <sz val="8"/>
      <color indexed="81"/>
      <name val="Tahoma"/>
      <family val="2"/>
    </font>
    <font>
      <b/>
      <sz val="13"/>
      <color theme="1"/>
      <name val="Calibri"/>
      <family val="2"/>
      <scheme val="minor"/>
    </font>
    <font>
      <sz val="14"/>
      <color theme="1"/>
      <name val="Calibri"/>
      <family val="2"/>
      <scheme val="minor"/>
    </font>
    <font>
      <b/>
      <sz val="11"/>
      <color rgb="FFFF0000"/>
      <name val="Arial Narrow"/>
      <family val="2"/>
    </font>
    <font>
      <b/>
      <vertAlign val="superscript"/>
      <sz val="9"/>
      <color rgb="FFFF0000"/>
      <name val="Arial Narrow"/>
      <family val="2"/>
    </font>
    <font>
      <b/>
      <sz val="14"/>
      <color rgb="FFFF0000"/>
      <name val="Arial Narrow"/>
      <family val="2"/>
    </font>
    <font>
      <b/>
      <sz val="9"/>
      <color rgb="FFFF0000"/>
      <name val="Arial Narrow"/>
      <family val="2"/>
    </font>
    <font>
      <b/>
      <sz val="10"/>
      <color theme="1"/>
      <name val="Arial"/>
      <family val="2"/>
    </font>
    <font>
      <b/>
      <sz val="10"/>
      <color indexed="12"/>
      <name val="Arial"/>
      <family val="2"/>
    </font>
    <font>
      <i/>
      <sz val="10"/>
      <color theme="1"/>
      <name val="Arial"/>
      <family val="2"/>
    </font>
    <font>
      <sz val="10"/>
      <name val="SansSerif"/>
    </font>
    <font>
      <sz val="11"/>
      <name val="Calibri"/>
      <family val="2"/>
    </font>
    <font>
      <sz val="11"/>
      <color theme="0"/>
      <name val="Calibri"/>
      <family val="2"/>
      <scheme val="minor"/>
    </font>
    <font>
      <sz val="11"/>
      <color theme="9" tint="-0.249977111117893"/>
      <name val="Calibri"/>
      <family val="2"/>
      <scheme val="minor"/>
    </font>
  </fonts>
  <fills count="98">
    <fill>
      <patternFill patternType="none"/>
    </fill>
    <fill>
      <patternFill patternType="gray125"/>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bgColor indexed="64"/>
      </patternFill>
    </fill>
    <fill>
      <patternFill patternType="solid">
        <fgColor indexed="55"/>
      </patternFill>
    </fill>
    <fill>
      <patternFill patternType="solid">
        <fgColor indexed="13"/>
        <bgColor indexed="64"/>
      </patternFill>
    </fill>
    <fill>
      <patternFill patternType="solid">
        <fgColor indexed="54"/>
        <bgColor indexed="64"/>
      </patternFill>
    </fill>
    <fill>
      <patternFill patternType="solid">
        <fgColor indexed="11"/>
        <bgColor indexed="64"/>
      </patternFill>
    </fill>
    <fill>
      <patternFill patternType="solid">
        <fgColor indexed="26"/>
        <bgColor indexed="64"/>
      </patternFill>
    </fill>
    <fill>
      <patternFill patternType="solid">
        <fgColor indexed="34"/>
        <bgColor indexed="13"/>
      </patternFill>
    </fill>
    <fill>
      <patternFill patternType="solid">
        <fgColor indexed="33"/>
        <bgColor indexed="64"/>
      </patternFill>
    </fill>
    <fill>
      <patternFill patternType="solid">
        <fgColor indexed="43"/>
        <bgColor indexed="64"/>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rgb="FFCCFFCC"/>
        <bgColor indexed="64"/>
      </patternFill>
    </fill>
    <fill>
      <patternFill patternType="solid">
        <fgColor rgb="FF92D050"/>
        <bgColor indexed="64"/>
      </patternFill>
    </fill>
    <fill>
      <patternFill patternType="solid">
        <fgColor theme="0" tint="-0.14999847407452621"/>
        <bgColor indexed="64"/>
      </patternFill>
    </fill>
    <fill>
      <patternFill patternType="solid">
        <fgColor rgb="FFEAEAEA"/>
        <bgColor indexed="64"/>
      </patternFill>
    </fill>
    <fill>
      <patternFill patternType="solid">
        <fgColor indexed="9"/>
        <bgColor indexed="9"/>
      </patternFill>
    </fill>
    <fill>
      <patternFill patternType="solid">
        <fgColor theme="2"/>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rgb="FFFFFFCC"/>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1"/>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54"/>
        <bgColor indexed="14"/>
      </patternFill>
    </fill>
    <fill>
      <patternFill patternType="solid">
        <fgColor indexed="42"/>
        <bgColor indexed="64"/>
      </patternFill>
    </fill>
    <fill>
      <patternFill patternType="solid">
        <fgColor indexed="4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9"/>
        <bgColor indexed="22"/>
      </patternFill>
    </fill>
    <fill>
      <patternFill patternType="solid">
        <fgColor indexed="40"/>
        <bgColor indexed="64"/>
      </patternFill>
    </fill>
    <fill>
      <patternFill patternType="solid">
        <fgColor indexed="20"/>
      </patternFill>
    </fill>
    <fill>
      <patternFill patternType="solid">
        <fgColor theme="8" tint="0.79998168889431442"/>
        <bgColor indexed="64"/>
      </patternFill>
    </fill>
    <fill>
      <patternFill patternType="solid">
        <fgColor theme="2" tint="-0.499984740745262"/>
        <bgColor indexed="64"/>
      </patternFill>
    </fill>
    <fill>
      <patternFill patternType="solid">
        <fgColor rgb="FFFFFF99"/>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rgb="FFFFFFCC"/>
        <bgColor indexed="64"/>
      </patternFill>
    </fill>
    <fill>
      <patternFill patternType="solid">
        <fgColor theme="0" tint="-4.9989318521683403E-2"/>
        <bgColor indexed="64"/>
      </patternFill>
    </fill>
    <fill>
      <gradientFill degree="90">
        <stop position="0">
          <color rgb="FF149C24"/>
        </stop>
        <stop position="0.5">
          <color rgb="FF00CC00"/>
        </stop>
        <stop position="1">
          <color rgb="FF149C24"/>
        </stop>
      </gradientFill>
    </fill>
    <fill>
      <gradientFill degree="90">
        <stop position="0">
          <color rgb="FFFFC000"/>
        </stop>
        <stop position="0.5">
          <color rgb="FFFFFF00"/>
        </stop>
        <stop position="1">
          <color rgb="FFFFC000"/>
        </stop>
      </gradientFill>
    </fill>
    <fill>
      <gradientFill degree="90">
        <stop position="0">
          <color rgb="FFFF0000"/>
        </stop>
        <stop position="0.5">
          <color rgb="FFFB723B"/>
        </stop>
        <stop position="1">
          <color rgb="FFFF0000"/>
        </stop>
      </gradientFill>
    </fill>
  </fills>
  <borders count="133">
    <border>
      <left/>
      <right/>
      <top/>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indexed="8"/>
      </left>
      <right style="thick">
        <color indexed="8"/>
      </right>
      <top style="thick">
        <color indexed="8"/>
      </top>
      <bottom style="thick">
        <color indexed="8"/>
      </bottom>
      <diagonal/>
    </border>
    <border>
      <left style="thin">
        <color indexed="63"/>
      </left>
      <right style="thin">
        <color indexed="63"/>
      </right>
      <top style="thin">
        <color indexed="64"/>
      </top>
      <bottom style="thin">
        <color indexed="63"/>
      </bottom>
      <diagonal/>
    </border>
    <border>
      <left style="thin">
        <color indexed="64"/>
      </left>
      <right/>
      <top style="thin">
        <color indexed="64"/>
      </top>
      <bottom style="thin">
        <color indexed="64"/>
      </bottom>
      <diagonal/>
    </border>
    <border>
      <left/>
      <right/>
      <top/>
      <bottom style="hair">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4"/>
      </top>
      <bottom style="double">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auto="1"/>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n">
        <color auto="1"/>
      </bottom>
      <diagonal/>
    </border>
    <border>
      <left/>
      <right style="thick">
        <color auto="1"/>
      </right>
      <top style="thin">
        <color auto="1"/>
      </top>
      <bottom style="thin">
        <color auto="1"/>
      </bottom>
      <diagonal/>
    </border>
    <border>
      <left style="thick">
        <color auto="1"/>
      </left>
      <right/>
      <top style="thin">
        <color auto="1"/>
      </top>
      <bottom style="thick">
        <color auto="1"/>
      </bottom>
      <diagonal/>
    </border>
    <border>
      <left/>
      <right style="thick">
        <color auto="1"/>
      </right>
      <top style="thin">
        <color auto="1"/>
      </top>
      <bottom style="thick">
        <color auto="1"/>
      </bottom>
      <diagonal/>
    </border>
    <border>
      <left style="thick">
        <color auto="1"/>
      </left>
      <right/>
      <top style="thin">
        <color auto="1"/>
      </top>
      <bottom/>
      <diagonal/>
    </border>
    <border>
      <left/>
      <right style="thick">
        <color auto="1"/>
      </right>
      <top style="thin">
        <color auto="1"/>
      </top>
      <bottom/>
      <diagonal/>
    </border>
    <border>
      <left style="thick">
        <color auto="1"/>
      </left>
      <right/>
      <top style="thin">
        <color auto="1"/>
      </top>
      <bottom style="thin">
        <color auto="1"/>
      </bottom>
      <diagonal/>
    </border>
    <border>
      <left/>
      <right style="thick">
        <color auto="1"/>
      </right>
      <top style="thin">
        <color auto="1"/>
      </top>
      <bottom style="thin">
        <color auto="1"/>
      </bottom>
      <diagonal/>
    </border>
    <border>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ck">
        <color auto="1"/>
      </left>
      <right/>
      <top style="thin">
        <color auto="1"/>
      </top>
      <bottom style="thin">
        <color auto="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auto="1"/>
      </left>
      <right/>
      <top/>
      <bottom style="thin">
        <color auto="1"/>
      </bottom>
      <diagonal/>
    </border>
    <border>
      <left/>
      <right style="thick">
        <color auto="1"/>
      </right>
      <top style="thin">
        <color auto="1"/>
      </top>
      <bottom/>
      <diagonal/>
    </border>
    <border>
      <left/>
      <right style="thick">
        <color auto="1"/>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dashed">
        <color indexed="64"/>
      </right>
      <top/>
      <bottom/>
      <diagonal/>
    </border>
    <border>
      <left style="thin">
        <color indexed="64"/>
      </left>
      <right/>
      <top/>
      <bottom style="medium">
        <color indexed="64"/>
      </bottom>
      <diagonal/>
    </border>
    <border>
      <left/>
      <right/>
      <top/>
      <bottom style="medium">
        <color indexed="64"/>
      </bottom>
      <diagonal/>
    </border>
    <border>
      <left/>
      <right style="dashed">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double">
        <color indexed="60"/>
      </left>
      <right/>
      <top style="double">
        <color indexed="60"/>
      </top>
      <bottom/>
      <diagonal/>
    </border>
    <border>
      <left/>
      <right/>
      <top style="double">
        <color indexed="60"/>
      </top>
      <bottom/>
      <diagonal/>
    </border>
    <border>
      <left/>
      <right style="double">
        <color indexed="60"/>
      </right>
      <top style="double">
        <color indexed="60"/>
      </top>
      <bottom/>
      <diagonal/>
    </border>
    <border>
      <left style="double">
        <color indexed="60"/>
      </left>
      <right/>
      <top/>
      <bottom/>
      <diagonal/>
    </border>
    <border>
      <left/>
      <right style="double">
        <color indexed="60"/>
      </right>
      <top/>
      <bottom/>
      <diagonal/>
    </border>
    <border>
      <left style="double">
        <color indexed="60"/>
      </left>
      <right/>
      <top/>
      <bottom style="double">
        <color indexed="60"/>
      </bottom>
      <diagonal/>
    </border>
    <border>
      <left/>
      <right/>
      <top/>
      <bottom style="double">
        <color indexed="60"/>
      </bottom>
      <diagonal/>
    </border>
    <border>
      <left/>
      <right style="double">
        <color indexed="60"/>
      </right>
      <top/>
      <bottom style="double">
        <color indexed="60"/>
      </bottom>
      <diagonal/>
    </border>
    <border>
      <left style="medium">
        <color indexed="64"/>
      </left>
      <right/>
      <top/>
      <bottom style="thin">
        <color indexed="64"/>
      </bottom>
      <diagonal/>
    </border>
    <border>
      <left style="medium">
        <color indexed="36"/>
      </left>
      <right style="medium">
        <color indexed="36"/>
      </right>
      <top style="medium">
        <color indexed="36"/>
      </top>
      <bottom style="medium">
        <color indexed="36"/>
      </bottom>
      <diagonal/>
    </border>
    <border>
      <left style="medium">
        <color indexed="36"/>
      </left>
      <right style="medium">
        <color indexed="36"/>
      </right>
      <top style="medium">
        <color indexed="36"/>
      </top>
      <bottom style="medium">
        <color indexed="64"/>
      </bottom>
      <diagonal/>
    </border>
    <border>
      <left style="medium">
        <color indexed="36"/>
      </left>
      <right style="medium">
        <color indexed="36"/>
      </right>
      <top style="medium">
        <color indexed="36"/>
      </top>
      <bottom/>
      <diagonal/>
    </border>
    <border>
      <left style="medium">
        <color indexed="64"/>
      </left>
      <right/>
      <top style="thin">
        <color indexed="64"/>
      </top>
      <bottom style="thin">
        <color indexed="64"/>
      </bottom>
      <diagonal/>
    </border>
    <border>
      <left/>
      <right style="thin">
        <color indexed="64"/>
      </right>
      <top style="thin">
        <color indexed="22"/>
      </top>
      <bottom style="thin">
        <color indexed="22"/>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ck">
        <color auto="1"/>
      </left>
      <right/>
      <top/>
      <bottom style="thick">
        <color auto="1"/>
      </bottom>
      <diagonal/>
    </border>
    <border>
      <left/>
      <right style="thick">
        <color auto="1"/>
      </right>
      <top/>
      <bottom style="thick">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diagonal/>
    </border>
    <border>
      <left/>
      <right style="medium">
        <color indexed="64"/>
      </right>
      <top style="thin">
        <color auto="1"/>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auto="1"/>
      </left>
      <right/>
      <top style="thin">
        <color auto="1"/>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ck">
        <color auto="1"/>
      </left>
      <right/>
      <top style="thin">
        <color auto="1"/>
      </top>
      <bottom style="thin">
        <color indexed="64"/>
      </bottom>
      <diagonal/>
    </border>
  </borders>
  <cellStyleXfs count="18668">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5"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 fillId="0" borderId="0" applyNumberFormat="0" applyFill="0" applyBorder="0" applyAlignment="0" applyProtection="0"/>
    <xf numFmtId="0" fontId="18" fillId="0" borderId="0"/>
    <xf numFmtId="0" fontId="21" fillId="0" borderId="0"/>
    <xf numFmtId="9" fontId="21" fillId="0" borderId="0" applyFont="0" applyFill="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0"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2"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4"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9" borderId="0" applyNumberFormat="0" applyBorder="0" applyAlignment="0" applyProtection="0"/>
    <xf numFmtId="0" fontId="26" fillId="16"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6"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13" borderId="0" applyNumberFormat="0" applyBorder="0" applyAlignment="0" applyProtection="0"/>
    <xf numFmtId="0" fontId="26" fillId="2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23"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8" fillId="25" borderId="0" applyNumberFormat="0" applyBorder="0" applyAlignment="0" applyProtection="0"/>
    <xf numFmtId="0" fontId="27" fillId="24"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8" fillId="20" borderId="0" applyNumberFormat="0" applyBorder="0" applyAlignment="0" applyProtection="0"/>
    <xf numFmtId="0" fontId="27"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7" fillId="21"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8" fillId="19" borderId="0" applyNumberFormat="0" applyBorder="0" applyAlignment="0" applyProtection="0"/>
    <xf numFmtId="0" fontId="27" fillId="26"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7" fillId="26"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8" fillId="25" borderId="0" applyNumberFormat="0" applyBorder="0" applyAlignment="0" applyProtection="0"/>
    <xf numFmtId="0" fontId="27"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7" fillId="25"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8" fillId="13" borderId="0" applyNumberFormat="0" applyBorder="0" applyAlignment="0" applyProtection="0"/>
    <xf numFmtId="0" fontId="27" fillId="27"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8" fillId="25" borderId="0" applyNumberFormat="0" applyBorder="0" applyAlignment="0" applyProtection="0"/>
    <xf numFmtId="0" fontId="27" fillId="28"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8" fillId="29" borderId="0" applyNumberFormat="0" applyBorder="0" applyAlignment="0" applyProtection="0"/>
    <xf numFmtId="0" fontId="27"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8" fillId="30" borderId="0" applyNumberFormat="0" applyBorder="0" applyAlignment="0" applyProtection="0"/>
    <xf numFmtId="0" fontId="27"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7" fillId="30"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8" fillId="31" borderId="0" applyNumberFormat="0" applyBorder="0" applyAlignment="0" applyProtection="0"/>
    <xf numFmtId="0" fontId="27" fillId="26"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7" fillId="26"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8" fillId="25" borderId="0" applyNumberFormat="0" applyBorder="0" applyAlignment="0" applyProtection="0"/>
    <xf numFmtId="0" fontId="27"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8" fillId="32" borderId="0" applyNumberFormat="0" applyBorder="0" applyAlignment="0" applyProtection="0"/>
    <xf numFmtId="0" fontId="27"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7" fillId="32" borderId="0" applyNumberFormat="0" applyBorder="0" applyAlignment="0" applyProtection="0"/>
    <xf numFmtId="3" fontId="29" fillId="33" borderId="0" applyNumberFormat="0" applyFont="0" applyBorder="0" applyAlignment="0" applyProtection="0"/>
    <xf numFmtId="3" fontId="29" fillId="33" borderId="0" applyNumberFormat="0" applyFont="0" applyBorder="0" applyAlignment="0" applyProtection="0"/>
    <xf numFmtId="3" fontId="29" fillId="33" borderId="0" applyNumberFormat="0" applyFont="0" applyBorder="0" applyAlignment="0" applyProtection="0"/>
    <xf numFmtId="3" fontId="30" fillId="33" borderId="0" applyNumberFormat="0" applyFon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31" fillId="0" borderId="0"/>
    <xf numFmtId="0" fontId="15" fillId="0" borderId="0"/>
    <xf numFmtId="0" fontId="31" fillId="0" borderId="0"/>
    <xf numFmtId="0" fontId="15" fillId="0"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3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15" fillId="0" borderId="0"/>
    <xf numFmtId="0" fontId="21" fillId="0" borderId="0"/>
    <xf numFmtId="0" fontId="15" fillId="0" borderId="0"/>
    <xf numFmtId="0" fontId="15" fillId="0" borderId="0"/>
    <xf numFmtId="0" fontId="15" fillId="0" borderId="0"/>
    <xf numFmtId="0" fontId="15" fillId="0" borderId="0"/>
    <xf numFmtId="0" fontId="32"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2" fillId="0" borderId="0"/>
    <xf numFmtId="0" fontId="33"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5" fillId="0" borderId="0"/>
    <xf numFmtId="0" fontId="33" fillId="0" borderId="0"/>
    <xf numFmtId="0" fontId="33" fillId="0" borderId="0"/>
    <xf numFmtId="0" fontId="33" fillId="0" borderId="0"/>
    <xf numFmtId="0" fontId="33" fillId="0" borderId="0"/>
    <xf numFmtId="0" fontId="33"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173" fontId="36" fillId="0" borderId="0" applyNumberFormat="0" applyAlignment="0" applyProtection="0">
      <alignment horizontal="center"/>
    </xf>
    <xf numFmtId="0" fontId="37" fillId="19" borderId="12" applyNumberFormat="0" applyAlignment="0" applyProtection="0"/>
    <xf numFmtId="0" fontId="37" fillId="19" borderId="12" applyNumberFormat="0" applyAlignment="0" applyProtection="0"/>
    <xf numFmtId="0" fontId="37" fillId="19" borderId="12" applyNumberFormat="0" applyAlignment="0" applyProtection="0"/>
    <xf numFmtId="0" fontId="37" fillId="19" borderId="12" applyNumberFormat="0" applyAlignment="0" applyProtection="0"/>
    <xf numFmtId="0" fontId="37" fillId="19" borderId="12" applyNumberFormat="0" applyAlignment="0" applyProtection="0"/>
    <xf numFmtId="0" fontId="37" fillId="19" borderId="12" applyNumberFormat="0" applyAlignment="0" applyProtection="0"/>
    <xf numFmtId="0" fontId="37" fillId="19" borderId="12" applyNumberFormat="0" applyAlignment="0" applyProtection="0"/>
    <xf numFmtId="0" fontId="37" fillId="19" borderId="12" applyNumberFormat="0" applyAlignment="0" applyProtection="0"/>
    <xf numFmtId="0" fontId="37" fillId="19" borderId="12" applyNumberFormat="0" applyAlignment="0" applyProtection="0"/>
    <xf numFmtId="0" fontId="37" fillId="19" borderId="12" applyNumberFormat="0" applyAlignment="0" applyProtection="0"/>
    <xf numFmtId="0" fontId="37" fillId="19" borderId="12" applyNumberFormat="0" applyAlignment="0" applyProtection="0"/>
    <xf numFmtId="0" fontId="37" fillId="19" borderId="12" applyNumberFormat="0" applyAlignment="0" applyProtection="0"/>
    <xf numFmtId="0" fontId="37" fillId="11" borderId="12" applyNumberFormat="0" applyAlignment="0" applyProtection="0"/>
    <xf numFmtId="0" fontId="37" fillId="19" borderId="12" applyNumberFormat="0" applyAlignment="0" applyProtection="0"/>
    <xf numFmtId="0" fontId="37" fillId="11" borderId="12" applyNumberFormat="0" applyAlignment="0" applyProtection="0"/>
    <xf numFmtId="0" fontId="37" fillId="11" borderId="12" applyNumberFormat="0" applyAlignment="0" applyProtection="0"/>
    <xf numFmtId="0" fontId="37" fillId="19" borderId="12" applyNumberFormat="0" applyAlignment="0" applyProtection="0"/>
    <xf numFmtId="0" fontId="37" fillId="11" borderId="12" applyNumberFormat="0" applyAlignment="0" applyProtection="0"/>
    <xf numFmtId="0" fontId="37" fillId="19" borderId="12" applyNumberFormat="0" applyAlignment="0" applyProtection="0"/>
    <xf numFmtId="0" fontId="38" fillId="34" borderId="13" applyNumberFormat="0" applyAlignment="0" applyProtection="0"/>
    <xf numFmtId="0" fontId="38" fillId="34" borderId="13" applyNumberFormat="0" applyAlignment="0" applyProtection="0"/>
    <xf numFmtId="0" fontId="38" fillId="34" borderId="13" applyNumberFormat="0" applyAlignment="0" applyProtection="0"/>
    <xf numFmtId="0" fontId="38" fillId="34" borderId="13" applyNumberFormat="0" applyAlignment="0" applyProtection="0"/>
    <xf numFmtId="0" fontId="38" fillId="34" borderId="13" applyNumberFormat="0" applyAlignment="0" applyProtection="0"/>
    <xf numFmtId="0" fontId="38" fillId="34" borderId="13" applyNumberFormat="0" applyAlignment="0" applyProtection="0"/>
    <xf numFmtId="0" fontId="39" fillId="34" borderId="13" applyNumberFormat="0" applyAlignment="0" applyProtection="0"/>
    <xf numFmtId="0" fontId="38" fillId="34" borderId="13" applyNumberFormat="0" applyAlignment="0" applyProtection="0"/>
    <xf numFmtId="0" fontId="39" fillId="34" borderId="13" applyNumberFormat="0" applyAlignment="0" applyProtection="0"/>
    <xf numFmtId="0" fontId="39" fillId="34" borderId="13" applyNumberFormat="0" applyAlignment="0" applyProtection="0"/>
    <xf numFmtId="0" fontId="39" fillId="34" borderId="13" applyNumberFormat="0" applyAlignment="0" applyProtection="0"/>
    <xf numFmtId="0" fontId="38" fillId="34" borderId="13" applyNumberFormat="0" applyAlignment="0" applyProtection="0"/>
    <xf numFmtId="164" fontId="36" fillId="0" borderId="0"/>
    <xf numFmtId="164" fontId="36" fillId="0" borderId="0"/>
    <xf numFmtId="164" fontId="36" fillId="0" borderId="0"/>
    <xf numFmtId="164" fontId="36" fillId="0" borderId="0"/>
    <xf numFmtId="164" fontId="36" fillId="0" borderId="0"/>
    <xf numFmtId="164" fontId="36" fillId="0" borderId="0"/>
    <xf numFmtId="164" fontId="36" fillId="0" borderId="0"/>
    <xf numFmtId="164" fontId="36" fillId="0" borderId="0"/>
    <xf numFmtId="174" fontId="40" fillId="0" borderId="0" applyFill="0" applyBorder="0" applyAlignment="0" applyProtection="0"/>
    <xf numFmtId="174" fontId="40" fillId="0" borderId="0" applyFill="0" applyBorder="0" applyAlignment="0" applyProtection="0"/>
    <xf numFmtId="174" fontId="40" fillId="0" borderId="0" applyFill="0" applyBorder="0" applyAlignment="0" applyProtection="0"/>
    <xf numFmtId="174" fontId="41" fillId="0" borderId="0" applyFill="0" applyBorder="0" applyAlignment="0" applyProtection="0"/>
    <xf numFmtId="175" fontId="40" fillId="0" borderId="0" applyFill="0" applyBorder="0" applyAlignment="0" applyProtection="0"/>
    <xf numFmtId="175" fontId="40" fillId="0" borderId="0" applyFill="0" applyBorder="0" applyAlignment="0" applyProtection="0"/>
    <xf numFmtId="175" fontId="40" fillId="0" borderId="0" applyFill="0" applyBorder="0" applyAlignment="0" applyProtection="0"/>
    <xf numFmtId="175" fontId="41" fillId="0" borderId="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42"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42"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40" fillId="0" borderId="4" applyFill="0" applyBorder="0" applyAlignment="0" applyProtection="0"/>
    <xf numFmtId="176" fontId="41" fillId="0" borderId="4" applyFill="0" applyBorder="0" applyAlignment="0" applyProtection="0"/>
    <xf numFmtId="43" fontId="21" fillId="0" borderId="0" applyFont="0" applyFill="0" applyBorder="0" applyAlignment="0" applyProtection="0"/>
    <xf numFmtId="176" fontId="41" fillId="0" borderId="4" applyFill="0" applyBorder="0" applyAlignment="0" applyProtection="0"/>
    <xf numFmtId="43" fontId="44" fillId="0" borderId="0" applyFont="0" applyFill="0" applyBorder="0" applyAlignment="0" applyProtection="0"/>
    <xf numFmtId="176" fontId="40" fillId="0" borderId="4"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1" fillId="0" borderId="0" applyFont="0" applyFill="0" applyBorder="0" applyAlignment="0" applyProtection="0"/>
    <xf numFmtId="43" fontId="44" fillId="0" borderId="0" applyFont="0" applyFill="0" applyBorder="0" applyAlignment="0" applyProtection="0"/>
    <xf numFmtId="176" fontId="41" fillId="0" borderId="4"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1" fillId="0" borderId="0" applyFont="0" applyFill="0" applyBorder="0" applyAlignment="0" applyProtection="0"/>
    <xf numFmtId="176" fontId="40" fillId="0" borderId="4" applyFill="0" applyBorder="0" applyAlignment="0" applyProtection="0"/>
    <xf numFmtId="176" fontId="40" fillId="0" borderId="4" applyFill="0" applyBorder="0" applyAlignment="0" applyProtection="0"/>
    <xf numFmtId="176" fontId="40" fillId="0" borderId="4"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0" fontId="34" fillId="0" borderId="0" applyFont="0" applyFill="0" applyBorder="0" applyAlignment="0" applyProtection="0"/>
    <xf numFmtId="40" fontId="34"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40" fillId="0" borderId="3" applyFill="0" applyBorder="0" applyAlignment="0" applyProtection="0">
      <alignment horizontal="right"/>
    </xf>
    <xf numFmtId="177" fontId="40" fillId="0" borderId="3" applyFill="0" applyBorder="0" applyAlignment="0" applyProtection="0">
      <alignment horizontal="right"/>
    </xf>
    <xf numFmtId="177" fontId="40" fillId="0" borderId="3" applyFill="0" applyBorder="0" applyAlignment="0" applyProtection="0">
      <alignment horizontal="right"/>
    </xf>
    <xf numFmtId="177" fontId="40" fillId="0" borderId="3" applyFill="0" applyBorder="0" applyAlignment="0" applyProtection="0">
      <alignment horizontal="right"/>
    </xf>
    <xf numFmtId="177" fontId="41" fillId="0" borderId="3" applyFill="0" applyBorder="0" applyAlignment="0" applyProtection="0">
      <alignment horizontal="right"/>
    </xf>
    <xf numFmtId="177" fontId="40" fillId="0" borderId="3" applyFill="0" applyBorder="0" applyAlignment="0" applyProtection="0">
      <alignment horizontal="right"/>
    </xf>
    <xf numFmtId="177" fontId="41" fillId="0" borderId="3" applyFill="0" applyBorder="0" applyAlignment="0" applyProtection="0">
      <alignment horizontal="right"/>
    </xf>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6" fillId="0" borderId="0" applyFont="0" applyFill="0" applyBorder="0" applyAlignment="0" applyProtection="0"/>
    <xf numFmtId="43" fontId="15" fillId="0" borderId="0" applyFont="0" applyFill="0" applyBorder="0" applyAlignment="0" applyProtection="0"/>
    <xf numFmtId="178" fontId="40" fillId="0" borderId="3" applyFill="0" applyBorder="0" applyAlignment="0" applyProtection="0">
      <alignment horizontal="right"/>
    </xf>
    <xf numFmtId="178" fontId="40" fillId="0" borderId="3" applyFill="0" applyBorder="0" applyAlignment="0" applyProtection="0">
      <alignment horizontal="right"/>
    </xf>
    <xf numFmtId="178" fontId="40" fillId="0" borderId="3" applyFill="0" applyBorder="0" applyAlignment="0" applyProtection="0">
      <alignment horizontal="right"/>
    </xf>
    <xf numFmtId="178" fontId="40" fillId="0" borderId="3" applyFill="0" applyBorder="0" applyAlignment="0" applyProtection="0">
      <alignment horizontal="right"/>
    </xf>
    <xf numFmtId="178" fontId="41" fillId="0" borderId="3" applyFill="0" applyBorder="0" applyAlignment="0" applyProtection="0">
      <alignment horizontal="right"/>
    </xf>
    <xf numFmtId="178" fontId="40" fillId="0" borderId="3" applyFill="0" applyBorder="0" applyAlignment="0" applyProtection="0">
      <alignment horizontal="right"/>
    </xf>
    <xf numFmtId="178" fontId="41" fillId="0" borderId="3" applyFill="0" applyBorder="0" applyAlignment="0" applyProtection="0">
      <alignment horizontal="right"/>
    </xf>
    <xf numFmtId="43" fontId="2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79" fontId="40" fillId="0" borderId="0" applyFill="0" applyBorder="0" applyAlignment="0" applyProtection="0"/>
    <xf numFmtId="179" fontId="41" fillId="0" borderId="0" applyFill="0" applyBorder="0" applyAlignment="0" applyProtection="0"/>
    <xf numFmtId="179" fontId="40" fillId="0" borderId="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80" fontId="40" fillId="0" borderId="9" applyFill="0" applyBorder="0" applyAlignment="0" applyProtection="0"/>
    <xf numFmtId="180" fontId="40" fillId="0" borderId="9" applyFill="0" applyBorder="0" applyAlignment="0" applyProtection="0"/>
    <xf numFmtId="180" fontId="40" fillId="0" borderId="9" applyFill="0" applyBorder="0" applyAlignment="0" applyProtection="0"/>
    <xf numFmtId="180" fontId="41" fillId="0" borderId="9" applyFill="0" applyBorder="0" applyAlignment="0" applyProtection="0"/>
    <xf numFmtId="180" fontId="40" fillId="0" borderId="9" applyFill="0" applyBorder="0" applyAlignment="0" applyProtection="0"/>
    <xf numFmtId="180" fontId="41" fillId="0" borderId="9" applyFill="0" applyBorder="0" applyAlignment="0" applyProtection="0"/>
    <xf numFmtId="8" fontId="34"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48" fillId="0" borderId="14" applyFont="0">
      <alignment horizontal="left"/>
    </xf>
    <xf numFmtId="0" fontId="48" fillId="0" borderId="14" applyFont="0">
      <alignment horizontal="left"/>
    </xf>
    <xf numFmtId="0" fontId="48" fillId="0" borderId="14" applyFont="0">
      <alignment horizontal="left"/>
    </xf>
    <xf numFmtId="0" fontId="49" fillId="0" borderId="14" applyFont="0">
      <alignment horizontal="left"/>
    </xf>
    <xf numFmtId="0" fontId="48" fillId="0" borderId="14" applyFont="0">
      <alignment horizontal="left"/>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0" borderId="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3" fillId="0" borderId="0">
      <alignment horizontal="center"/>
    </xf>
    <xf numFmtId="0" fontId="54" fillId="0" borderId="15" applyNumberFormat="0" applyFill="0" applyAlignment="0" applyProtection="0"/>
    <xf numFmtId="0" fontId="54" fillId="0" borderId="15" applyNumberFormat="0" applyFill="0" applyAlignment="0" applyProtection="0"/>
    <xf numFmtId="0" fontId="54" fillId="0" borderId="15" applyNumberFormat="0" applyFill="0" applyAlignment="0" applyProtection="0"/>
    <xf numFmtId="0" fontId="54" fillId="0" borderId="15" applyNumberFormat="0" applyFill="0" applyAlignment="0" applyProtection="0"/>
    <xf numFmtId="0" fontId="54" fillId="0" borderId="15" applyNumberFormat="0" applyFill="0" applyAlignment="0" applyProtection="0"/>
    <xf numFmtId="0" fontId="54" fillId="0" borderId="15" applyNumberFormat="0" applyFill="0" applyAlignment="0" applyProtection="0"/>
    <xf numFmtId="0" fontId="55" fillId="0" borderId="16" applyNumberFormat="0" applyFill="0" applyAlignment="0" applyProtection="0"/>
    <xf numFmtId="0" fontId="54" fillId="0" borderId="15" applyNumberFormat="0" applyFill="0" applyAlignment="0" applyProtection="0"/>
    <xf numFmtId="0" fontId="55" fillId="0" borderId="16" applyNumberFormat="0" applyFill="0" applyAlignment="0" applyProtection="0"/>
    <xf numFmtId="0" fontId="55" fillId="0" borderId="16" applyNumberFormat="0" applyFill="0" applyAlignment="0" applyProtection="0"/>
    <xf numFmtId="0" fontId="55" fillId="0" borderId="16" applyNumberFormat="0" applyFill="0" applyAlignment="0" applyProtection="0"/>
    <xf numFmtId="0" fontId="54" fillId="0" borderId="15"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7" fillId="0" borderId="17" applyNumberFormat="0" applyFill="0" applyAlignment="0" applyProtection="0"/>
    <xf numFmtId="0" fontId="56" fillId="0" borderId="17" applyNumberFormat="0" applyFill="0" applyAlignment="0" applyProtection="0"/>
    <xf numFmtId="0" fontId="57" fillId="0" borderId="17" applyNumberFormat="0" applyFill="0" applyAlignment="0" applyProtection="0"/>
    <xf numFmtId="0" fontId="57" fillId="0" borderId="17" applyNumberFormat="0" applyFill="0" applyAlignment="0" applyProtection="0"/>
    <xf numFmtId="0" fontId="57" fillId="0" borderId="17" applyNumberFormat="0" applyFill="0" applyAlignment="0" applyProtection="0"/>
    <xf numFmtId="0" fontId="56" fillId="0" borderId="17"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9" fillId="0" borderId="19" applyNumberFormat="0" applyFill="0" applyAlignment="0" applyProtection="0"/>
    <xf numFmtId="0" fontId="58" fillId="0" borderId="18"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8" fillId="0" borderId="18"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alignment vertical="top"/>
      <protection locked="0"/>
    </xf>
    <xf numFmtId="0" fontId="61" fillId="13" borderId="12" applyNumberFormat="0" applyAlignment="0" applyProtection="0"/>
    <xf numFmtId="0" fontId="61" fillId="13" borderId="12" applyNumberFormat="0" applyAlignment="0" applyProtection="0"/>
    <xf numFmtId="0" fontId="61" fillId="13" borderId="12" applyNumberFormat="0" applyAlignment="0" applyProtection="0"/>
    <xf numFmtId="0" fontId="61" fillId="13" borderId="12" applyNumberFormat="0" applyAlignment="0" applyProtection="0"/>
    <xf numFmtId="0" fontId="61" fillId="13" borderId="12" applyNumberFormat="0" applyAlignment="0" applyProtection="0"/>
    <xf numFmtId="10" fontId="62" fillId="35" borderId="0" applyNumberFormat="0" applyFont="0" applyBorder="0" applyAlignment="0" applyProtection="0"/>
    <xf numFmtId="0" fontId="61" fillId="13" borderId="12" applyNumberFormat="0" applyAlignment="0" applyProtection="0"/>
    <xf numFmtId="10" fontId="62" fillId="35" borderId="0" applyNumberFormat="0" applyFont="0" applyBorder="0" applyAlignment="0" applyProtection="0"/>
    <xf numFmtId="10" fontId="63" fillId="35" borderId="0" applyNumberFormat="0" applyFont="0" applyBorder="0" applyAlignment="0" applyProtection="0"/>
    <xf numFmtId="10" fontId="62" fillId="35" borderId="0" applyNumberFormat="0" applyFont="0" applyBorder="0" applyAlignment="0" applyProtection="0"/>
    <xf numFmtId="10" fontId="63" fillId="35" borderId="0" applyNumberFormat="0" applyFont="0" applyBorder="0" applyAlignment="0" applyProtection="0"/>
    <xf numFmtId="0" fontId="61" fillId="13" borderId="12" applyNumberFormat="0" applyAlignment="0" applyProtection="0"/>
    <xf numFmtId="0" fontId="61" fillId="13" borderId="12" applyNumberFormat="0" applyAlignment="0" applyProtection="0"/>
    <xf numFmtId="0" fontId="61" fillId="13" borderId="12" applyNumberFormat="0" applyAlignment="0" applyProtection="0"/>
    <xf numFmtId="10" fontId="62" fillId="35" borderId="0" applyNumberFormat="0" applyFont="0" applyBorder="0" applyAlignment="0" applyProtection="0"/>
    <xf numFmtId="10" fontId="62" fillId="35" borderId="0" applyNumberFormat="0" applyFont="0" applyBorder="0" applyAlignment="0" applyProtection="0"/>
    <xf numFmtId="0" fontId="61" fillId="13" borderId="12" applyNumberFormat="0" applyAlignment="0" applyProtection="0"/>
    <xf numFmtId="10" fontId="62" fillId="35" borderId="0" applyNumberFormat="0" applyFont="0" applyBorder="0" applyAlignment="0" applyProtection="0"/>
    <xf numFmtId="0" fontId="61" fillId="13" borderId="12" applyNumberFormat="0" applyAlignment="0" applyProtection="0"/>
    <xf numFmtId="0" fontId="61" fillId="13" borderId="12" applyNumberFormat="0" applyAlignment="0" applyProtection="0"/>
    <xf numFmtId="0" fontId="61" fillId="13" borderId="12" applyNumberFormat="0" applyAlignment="0" applyProtection="0"/>
    <xf numFmtId="0" fontId="61" fillId="13" borderId="12" applyNumberFormat="0" applyAlignment="0" applyProtection="0"/>
    <xf numFmtId="0" fontId="48" fillId="36" borderId="0" applyNumberFormat="0" applyFont="0" applyBorder="0" applyAlignment="0" applyProtection="0"/>
    <xf numFmtId="0" fontId="48" fillId="36" borderId="0" applyNumberFormat="0" applyFont="0" applyBorder="0" applyAlignment="0" applyProtection="0"/>
    <xf numFmtId="0" fontId="48" fillId="36" borderId="0" applyNumberFormat="0" applyFont="0" applyBorder="0" applyAlignment="0" applyProtection="0"/>
    <xf numFmtId="0" fontId="49" fillId="36" borderId="0" applyNumberFormat="0" applyFont="0" applyBorder="0" applyAlignment="0" applyProtection="0"/>
    <xf numFmtId="0" fontId="64" fillId="0" borderId="20" applyNumberFormat="0" applyFill="0" applyAlignment="0" applyProtection="0"/>
    <xf numFmtId="0" fontId="64" fillId="0" borderId="20" applyNumberFormat="0" applyFill="0" applyAlignment="0" applyProtection="0"/>
    <xf numFmtId="0" fontId="64" fillId="0" borderId="20" applyNumberFormat="0" applyFill="0" applyAlignment="0" applyProtection="0"/>
    <xf numFmtId="0" fontId="64" fillId="0" borderId="20" applyNumberFormat="0" applyFill="0" applyAlignment="0" applyProtection="0"/>
    <xf numFmtId="0" fontId="64" fillId="0" borderId="20" applyNumberFormat="0" applyFill="0" applyAlignment="0" applyProtection="0"/>
    <xf numFmtId="0" fontId="64" fillId="0" borderId="20" applyNumberFormat="0" applyFill="0" applyAlignment="0" applyProtection="0"/>
    <xf numFmtId="0" fontId="64" fillId="0" borderId="20" applyNumberFormat="0" applyFill="0" applyAlignment="0" applyProtection="0"/>
    <xf numFmtId="0" fontId="48" fillId="37" borderId="0" applyNumberFormat="0" applyFont="0" applyBorder="0" applyAlignment="0" applyProtection="0"/>
    <xf numFmtId="0" fontId="48" fillId="37" borderId="0" applyNumberFormat="0" applyFont="0" applyBorder="0" applyAlignment="0" applyProtection="0"/>
    <xf numFmtId="0" fontId="48" fillId="37" borderId="0" applyNumberFormat="0" applyFont="0" applyBorder="0" applyAlignment="0" applyProtection="0"/>
    <xf numFmtId="0" fontId="49" fillId="37" borderId="0" applyNumberFormat="0" applyFont="0" applyBorder="0" applyAlignment="0" applyProtection="0"/>
    <xf numFmtId="42" fontId="21" fillId="0" borderId="0" applyFont="0" applyFill="0" applyBorder="0" applyAlignment="0" applyProtection="0"/>
    <xf numFmtId="44" fontId="21" fillId="0" borderId="0" applyFont="0" applyFill="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181" fontId="66" fillId="0" borderId="0"/>
    <xf numFmtId="181" fontId="21" fillId="0" borderId="0"/>
    <xf numFmtId="181" fontId="21" fillId="0" borderId="0"/>
    <xf numFmtId="181" fontId="21" fillId="0" borderId="0"/>
    <xf numFmtId="181" fontId="21" fillId="0" borderId="0"/>
    <xf numFmtId="181" fontId="21" fillId="0" borderId="0"/>
    <xf numFmtId="181" fontId="66" fillId="0" borderId="0"/>
    <xf numFmtId="181"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67" fillId="0" borderId="0"/>
    <xf numFmtId="0" fontId="67" fillId="0" borderId="0"/>
    <xf numFmtId="0" fontId="67" fillId="0" borderId="0"/>
    <xf numFmtId="0" fontId="67"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15" fillId="0" borderId="0"/>
    <xf numFmtId="0" fontId="1" fillId="0" borderId="0"/>
    <xf numFmtId="0" fontId="21" fillId="0" borderId="0"/>
    <xf numFmtId="0" fontId="15"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0" fontId="31" fillId="0" borderId="0"/>
    <xf numFmtId="0" fontId="15" fillId="0" borderId="0"/>
    <xf numFmtId="0" fontId="31" fillId="0" borderId="0"/>
    <xf numFmtId="0" fontId="15" fillId="0" borderId="0"/>
    <xf numFmtId="0" fontId="31"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0" fontId="31" fillId="0" borderId="0"/>
    <xf numFmtId="0" fontId="15" fillId="0" borderId="0"/>
    <xf numFmtId="0" fontId="31" fillId="0" borderId="0"/>
    <xf numFmtId="0" fontId="15" fillId="0" borderId="0"/>
    <xf numFmtId="0" fontId="31" fillId="0" borderId="0"/>
    <xf numFmtId="0" fontId="15" fillId="0" borderId="0"/>
    <xf numFmtId="0" fontId="31" fillId="0" borderId="0"/>
    <xf numFmtId="0" fontId="15" fillId="0" borderId="0"/>
    <xf numFmtId="0" fontId="31" fillId="0" borderId="0"/>
    <xf numFmtId="0" fontId="15" fillId="0" borderId="0"/>
    <xf numFmtId="0" fontId="31" fillId="0" borderId="0"/>
    <xf numFmtId="0" fontId="15" fillId="0" borderId="0"/>
    <xf numFmtId="0" fontId="31" fillId="0" borderId="0"/>
    <xf numFmtId="0" fontId="15" fillId="0" borderId="0"/>
    <xf numFmtId="0" fontId="31" fillId="0" borderId="0"/>
    <xf numFmtId="0" fontId="15" fillId="0" borderId="0"/>
    <xf numFmtId="0" fontId="31"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5" fillId="0" borderId="0"/>
    <xf numFmtId="0" fontId="43"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15" fillId="0" borderId="0"/>
    <xf numFmtId="0" fontId="21" fillId="0" borderId="0"/>
    <xf numFmtId="0" fontId="21" fillId="0" borderId="0"/>
    <xf numFmtId="0" fontId="15" fillId="0" borderId="0"/>
    <xf numFmtId="0" fontId="21" fillId="0" borderId="0"/>
    <xf numFmtId="0" fontId="21" fillId="0" borderId="0"/>
    <xf numFmtId="0" fontId="15" fillId="0" borderId="0"/>
    <xf numFmtId="0" fontId="21" fillId="0" borderId="0"/>
    <xf numFmtId="0" fontId="21" fillId="0" borderId="0"/>
    <xf numFmtId="0" fontId="15" fillId="0" borderId="0"/>
    <xf numFmtId="0" fontId="21" fillId="0" borderId="0"/>
    <xf numFmtId="0" fontId="21" fillId="0" borderId="0"/>
    <xf numFmtId="0" fontId="15" fillId="0" borderId="0"/>
    <xf numFmtId="0" fontId="21" fillId="0" borderId="0"/>
    <xf numFmtId="0" fontId="67"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67" fillId="0" borderId="0"/>
    <xf numFmtId="0" fontId="15" fillId="0" borderId="0"/>
    <xf numFmtId="0" fontId="67" fillId="0" borderId="0"/>
    <xf numFmtId="182" fontId="42"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21" fillId="0" borderId="0"/>
    <xf numFmtId="0" fontId="21"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42" fillId="38" borderId="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42" fillId="38" borderId="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2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42" fillId="38" borderId="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42" fillId="38" borderId="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42" fillId="38" borderId="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42" fillId="38" borderId="4"/>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1" fillId="0" borderId="0"/>
    <xf numFmtId="0" fontId="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31" fillId="0" borderId="0"/>
    <xf numFmtId="0" fontId="31" fillId="0" borderId="0"/>
    <xf numFmtId="0" fontId="21" fillId="0" borderId="0"/>
    <xf numFmtId="0" fontId="21"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49"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42" fillId="38" borderId="4"/>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42" fillId="38" borderId="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42" fillId="38" borderId="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42" fillId="38" borderId="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42" fillId="38" borderId="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42" fillId="38" borderId="4"/>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42" fillId="38" borderId="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5" fillId="0" borderId="0"/>
    <xf numFmtId="0" fontId="21" fillId="0" borderId="0"/>
    <xf numFmtId="183" fontId="42" fillId="38" borderId="4"/>
    <xf numFmtId="0" fontId="1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42" fillId="38" borderId="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42" fillId="38" borderId="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2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21" fillId="0" borderId="0"/>
    <xf numFmtId="0" fontId="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21" fillId="0" borderId="0"/>
    <xf numFmtId="0" fontId="68" fillId="0" borderId="0"/>
    <xf numFmtId="0" fontId="1" fillId="0" borderId="0"/>
    <xf numFmtId="0" fontId="1" fillId="0" borderId="0"/>
    <xf numFmtId="0" fontId="1" fillId="0" borderId="0"/>
    <xf numFmtId="0" fontId="1" fillId="0" borderId="0"/>
    <xf numFmtId="0" fontId="1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 fillId="0" borderId="0"/>
    <xf numFmtId="0" fontId="21" fillId="0" borderId="0"/>
    <xf numFmtId="183" fontId="42" fillId="38" borderId="4"/>
    <xf numFmtId="0" fontId="15"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 fillId="0" borderId="0"/>
    <xf numFmtId="0" fontId="21" fillId="0" borderId="0"/>
    <xf numFmtId="183" fontId="42" fillId="38" borderId="4"/>
    <xf numFmtId="0" fontId="15"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21" fillId="0" borderId="0"/>
    <xf numFmtId="183" fontId="42" fillId="38" borderId="4"/>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21" fillId="0" borderId="0"/>
    <xf numFmtId="183" fontId="42" fillId="38" borderId="4"/>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21" fillId="0" borderId="0"/>
    <xf numFmtId="183" fontId="42" fillId="38" borderId="4"/>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21" fillId="0" borderId="0"/>
    <xf numFmtId="183" fontId="42" fillId="38" borderId="4"/>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21" fillId="0" borderId="0"/>
    <xf numFmtId="183" fontId="42" fillId="38" borderId="4"/>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 fillId="0" borderId="0"/>
    <xf numFmtId="0" fontId="21" fillId="0" borderId="0"/>
    <xf numFmtId="183" fontId="42" fillId="38" borderId="4"/>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21" fillId="0" borderId="0"/>
    <xf numFmtId="183" fontId="42" fillId="38" borderId="4"/>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183" fontId="42" fillId="38" borderId="4"/>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21" fillId="0" borderId="0"/>
    <xf numFmtId="183" fontId="42" fillId="38" borderId="4"/>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21" fillId="0" borderId="0"/>
    <xf numFmtId="183" fontId="42" fillId="38" borderId="4"/>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21" fillId="0" borderId="0"/>
    <xf numFmtId="183" fontId="42" fillId="38" borderId="4"/>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183" fontId="42" fillId="38" borderId="4"/>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183" fontId="42" fillId="38" borderId="4"/>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2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2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2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4" fillId="0" borderId="0"/>
    <xf numFmtId="0" fontId="34" fillId="0" borderId="0"/>
    <xf numFmtId="0" fontId="26" fillId="0" borderId="0"/>
    <xf numFmtId="0" fontId="15" fillId="0" borderId="0"/>
    <xf numFmtId="0" fontId="15" fillId="0" borderId="0"/>
    <xf numFmtId="0" fontId="15" fillId="0" borderId="0"/>
    <xf numFmtId="0" fontId="21" fillId="0" borderId="0"/>
    <xf numFmtId="0" fontId="21"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5" fillId="0" borderId="0"/>
    <xf numFmtId="0" fontId="1" fillId="0" borderId="0"/>
    <xf numFmtId="0" fontId="1" fillId="0" borderId="0"/>
    <xf numFmtId="0" fontId="21"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5" fillId="0" borderId="0"/>
    <xf numFmtId="0" fontId="15" fillId="0" borderId="0"/>
    <xf numFmtId="0" fontId="21" fillId="0" borderId="0"/>
    <xf numFmtId="0" fontId="21" fillId="0" borderId="0"/>
    <xf numFmtId="0" fontId="15" fillId="0" borderId="0"/>
    <xf numFmtId="0" fontId="15" fillId="0" borderId="0"/>
    <xf numFmtId="1" fontId="69" fillId="0" borderId="14">
      <alignment horizontal="center"/>
    </xf>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6"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21" fillId="15" borderId="21" applyNumberFormat="0" applyFont="0" applyAlignment="0" applyProtection="0"/>
    <xf numFmtId="0" fontId="70" fillId="19" borderId="22" applyNumberFormat="0" applyAlignment="0" applyProtection="0"/>
    <xf numFmtId="0" fontId="70" fillId="19" borderId="22" applyNumberFormat="0" applyAlignment="0" applyProtection="0"/>
    <xf numFmtId="0" fontId="70" fillId="19" borderId="22" applyNumberFormat="0" applyAlignment="0" applyProtection="0"/>
    <xf numFmtId="0" fontId="70" fillId="19" borderId="22" applyNumberFormat="0" applyAlignment="0" applyProtection="0"/>
    <xf numFmtId="0" fontId="70" fillId="19" borderId="22" applyNumberFormat="0" applyAlignment="0" applyProtection="0"/>
    <xf numFmtId="0" fontId="70" fillId="19" borderId="22" applyNumberFormat="0" applyAlignment="0" applyProtection="0"/>
    <xf numFmtId="0" fontId="70" fillId="19" borderId="22" applyNumberFormat="0" applyAlignment="0" applyProtection="0"/>
    <xf numFmtId="0" fontId="70" fillId="19" borderId="22" applyNumberFormat="0" applyAlignment="0" applyProtection="0"/>
    <xf numFmtId="0" fontId="70" fillId="19" borderId="22" applyNumberFormat="0" applyAlignment="0" applyProtection="0"/>
    <xf numFmtId="0" fontId="70" fillId="19" borderId="22" applyNumberFormat="0" applyAlignment="0" applyProtection="0"/>
    <xf numFmtId="0" fontId="70" fillId="19" borderId="22" applyNumberFormat="0" applyAlignment="0" applyProtection="0"/>
    <xf numFmtId="0" fontId="70" fillId="19" borderId="22" applyNumberFormat="0" applyAlignment="0" applyProtection="0"/>
    <xf numFmtId="0" fontId="70" fillId="11" borderId="22" applyNumberFormat="0" applyAlignment="0" applyProtection="0"/>
    <xf numFmtId="0" fontId="70" fillId="19" borderId="22" applyNumberFormat="0" applyAlignment="0" applyProtection="0"/>
    <xf numFmtId="0" fontId="70" fillId="11" borderId="22" applyNumberFormat="0" applyAlignment="0" applyProtection="0"/>
    <xf numFmtId="0" fontId="70" fillId="11" borderId="22" applyNumberFormat="0" applyAlignment="0" applyProtection="0"/>
    <xf numFmtId="0" fontId="70" fillId="19" borderId="22" applyNumberFormat="0" applyAlignment="0" applyProtection="0"/>
    <xf numFmtId="0" fontId="70" fillId="11" borderId="22" applyNumberFormat="0" applyAlignment="0" applyProtection="0"/>
    <xf numFmtId="0" fontId="70" fillId="19" borderId="22" applyNumberFormat="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42" fillId="0" borderId="0" applyFont="0" applyFill="0" applyBorder="0" applyAlignment="0" applyProtection="0"/>
    <xf numFmtId="9" fontId="4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5" fillId="0" borderId="0" applyFont="0" applyFill="0" applyBorder="0" applyAlignment="0" applyProtection="0"/>
    <xf numFmtId="9" fontId="42"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5"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1" fillId="39" borderId="23" applyNumberFormat="0" applyFont="0" applyFill="0" applyAlignment="0" applyProtection="0">
      <alignment horizontal="center"/>
    </xf>
    <xf numFmtId="0" fontId="71" fillId="39" borderId="23" applyNumberFormat="0" applyFont="0" applyFill="0" applyAlignment="0" applyProtection="0">
      <alignment horizontal="center"/>
    </xf>
    <xf numFmtId="0" fontId="71" fillId="39" borderId="23" applyNumberFormat="0" applyFont="0" applyFill="0" applyAlignment="0" applyProtection="0">
      <alignment horizontal="center"/>
    </xf>
    <xf numFmtId="0" fontId="72" fillId="39" borderId="23" applyNumberFormat="0" applyFont="0" applyFill="0" applyAlignment="0" applyProtection="0">
      <alignment horizontal="center"/>
    </xf>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40" borderId="0" applyNumberFormat="0" applyBorder="0" applyAlignment="0" applyProtection="0"/>
    <xf numFmtId="0" fontId="75" fillId="40" borderId="0" applyNumberFormat="0" applyBorder="0" applyAlignment="0" applyProtection="0"/>
    <xf numFmtId="4" fontId="76" fillId="41" borderId="22" applyNumberFormat="0" applyProtection="0">
      <alignment vertical="center"/>
    </xf>
    <xf numFmtId="4" fontId="76" fillId="41" borderId="22" applyNumberFormat="0" applyProtection="0">
      <alignment vertical="center"/>
    </xf>
    <xf numFmtId="4" fontId="77" fillId="41" borderId="22" applyNumberFormat="0" applyProtection="0">
      <alignment vertical="center"/>
    </xf>
    <xf numFmtId="4" fontId="77" fillId="41" borderId="22" applyNumberFormat="0" applyProtection="0">
      <alignment vertical="center"/>
    </xf>
    <xf numFmtId="4" fontId="76" fillId="41" borderId="22" applyNumberFormat="0" applyProtection="0">
      <alignment horizontal="left" vertical="center" indent="1"/>
    </xf>
    <xf numFmtId="4" fontId="76" fillId="41" borderId="22" applyNumberFormat="0" applyProtection="0">
      <alignment horizontal="left" vertical="center" indent="1"/>
    </xf>
    <xf numFmtId="4" fontId="76" fillId="41" borderId="22" applyNumberFormat="0" applyProtection="0">
      <alignment horizontal="left" vertical="center" indent="1"/>
    </xf>
    <xf numFmtId="4" fontId="76" fillId="41"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4" fontId="76" fillId="33" borderId="22" applyNumberFormat="0" applyProtection="0">
      <alignment horizontal="right" vertical="center"/>
    </xf>
    <xf numFmtId="4" fontId="76" fillId="33" borderId="22" applyNumberFormat="0" applyProtection="0">
      <alignment horizontal="right" vertical="center"/>
    </xf>
    <xf numFmtId="4" fontId="76" fillId="43" borderId="22" applyNumberFormat="0" applyProtection="0">
      <alignment horizontal="right" vertical="center"/>
    </xf>
    <xf numFmtId="4" fontId="76" fillId="43" borderId="22" applyNumberFormat="0" applyProtection="0">
      <alignment horizontal="right" vertical="center"/>
    </xf>
    <xf numFmtId="4" fontId="76" fillId="44" borderId="22" applyNumberFormat="0" applyProtection="0">
      <alignment horizontal="right" vertical="center"/>
    </xf>
    <xf numFmtId="4" fontId="76" fillId="44" borderId="22" applyNumberFormat="0" applyProtection="0">
      <alignment horizontal="right" vertical="center"/>
    </xf>
    <xf numFmtId="4" fontId="76" fillId="45" borderId="22" applyNumberFormat="0" applyProtection="0">
      <alignment horizontal="right" vertical="center"/>
    </xf>
    <xf numFmtId="4" fontId="76" fillId="45" borderId="22" applyNumberFormat="0" applyProtection="0">
      <alignment horizontal="right" vertical="center"/>
    </xf>
    <xf numFmtId="4" fontId="76" fillId="46" borderId="22" applyNumberFormat="0" applyProtection="0">
      <alignment horizontal="right" vertical="center"/>
    </xf>
    <xf numFmtId="4" fontId="76" fillId="46" borderId="22" applyNumberFormat="0" applyProtection="0">
      <alignment horizontal="right" vertical="center"/>
    </xf>
    <xf numFmtId="4" fontId="76" fillId="47" borderId="22" applyNumberFormat="0" applyProtection="0">
      <alignment horizontal="right" vertical="center"/>
    </xf>
    <xf numFmtId="4" fontId="76" fillId="47" borderId="22" applyNumberFormat="0" applyProtection="0">
      <alignment horizontal="right" vertical="center"/>
    </xf>
    <xf numFmtId="4" fontId="76" fillId="48" borderId="22" applyNumberFormat="0" applyProtection="0">
      <alignment horizontal="right" vertical="center"/>
    </xf>
    <xf numFmtId="4" fontId="76" fillId="48" borderId="22" applyNumberFormat="0" applyProtection="0">
      <alignment horizontal="right" vertical="center"/>
    </xf>
    <xf numFmtId="4" fontId="76" fillId="49" borderId="22" applyNumberFormat="0" applyProtection="0">
      <alignment horizontal="right" vertical="center"/>
    </xf>
    <xf numFmtId="4" fontId="76" fillId="49" borderId="22" applyNumberFormat="0" applyProtection="0">
      <alignment horizontal="right" vertical="center"/>
    </xf>
    <xf numFmtId="4" fontId="76" fillId="37" borderId="22" applyNumberFormat="0" applyProtection="0">
      <alignment horizontal="right" vertical="center"/>
    </xf>
    <xf numFmtId="4" fontId="76" fillId="37" borderId="22" applyNumberFormat="0" applyProtection="0">
      <alignment horizontal="right" vertical="center"/>
    </xf>
    <xf numFmtId="4" fontId="78" fillId="50" borderId="22" applyNumberFormat="0" applyProtection="0">
      <alignment horizontal="left" vertical="center" indent="1"/>
    </xf>
    <xf numFmtId="4" fontId="78" fillId="50" borderId="22" applyNumberFormat="0" applyProtection="0">
      <alignment horizontal="left" vertical="center" indent="1"/>
    </xf>
    <xf numFmtId="4" fontId="76" fillId="51" borderId="24" applyNumberFormat="0" applyProtection="0">
      <alignment horizontal="left" vertical="center" indent="1"/>
    </xf>
    <xf numFmtId="4" fontId="76" fillId="51" borderId="24"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4" fontId="76" fillId="51" borderId="22" applyNumberFormat="0" applyProtection="0">
      <alignment horizontal="left" vertical="center" indent="1"/>
    </xf>
    <xf numFmtId="4" fontId="76" fillId="51" borderId="22" applyNumberFormat="0" applyProtection="0">
      <alignment horizontal="left" vertical="center" indent="1"/>
    </xf>
    <xf numFmtId="4" fontId="76" fillId="51" borderId="22" applyNumberFormat="0" applyProtection="0">
      <alignment horizontal="left" vertical="center" indent="1"/>
    </xf>
    <xf numFmtId="4" fontId="76" fillId="51" borderId="22" applyNumberFormat="0" applyProtection="0">
      <alignment horizontal="left" vertical="center" indent="1"/>
    </xf>
    <xf numFmtId="4" fontId="76" fillId="52" borderId="22" applyNumberFormat="0" applyProtection="0">
      <alignment horizontal="left" vertical="center" indent="1"/>
    </xf>
    <xf numFmtId="4" fontId="76" fillId="52" borderId="22" applyNumberFormat="0" applyProtection="0">
      <alignment horizontal="left" vertical="center" indent="1"/>
    </xf>
    <xf numFmtId="4" fontId="76" fillId="52" borderId="22" applyNumberFormat="0" applyProtection="0">
      <alignment horizontal="left" vertical="center" indent="1"/>
    </xf>
    <xf numFmtId="4" fontId="76" fillId="52" borderId="22" applyNumberFormat="0" applyProtection="0">
      <alignment horizontal="left" vertical="center" indent="1"/>
    </xf>
    <xf numFmtId="0" fontId="21" fillId="52" borderId="22" applyNumberFormat="0" applyProtection="0">
      <alignment horizontal="left" vertical="center" indent="1"/>
    </xf>
    <xf numFmtId="0" fontId="21" fillId="52" borderId="22" applyNumberFormat="0" applyProtection="0">
      <alignment horizontal="left" vertical="center" indent="1"/>
    </xf>
    <xf numFmtId="0" fontId="21" fillId="52" borderId="22" applyNumberFormat="0" applyProtection="0">
      <alignment horizontal="left" vertical="center" indent="1"/>
    </xf>
    <xf numFmtId="0" fontId="21" fillId="52" borderId="22" applyNumberFormat="0" applyProtection="0">
      <alignment horizontal="left" vertical="center" indent="1"/>
    </xf>
    <xf numFmtId="0" fontId="21" fillId="52" borderId="22" applyNumberFormat="0" applyProtection="0">
      <alignment horizontal="left" vertical="center" indent="1"/>
    </xf>
    <xf numFmtId="0" fontId="21" fillId="52" borderId="22" applyNumberFormat="0" applyProtection="0">
      <alignment horizontal="left" vertical="center" indent="1"/>
    </xf>
    <xf numFmtId="0" fontId="21" fillId="52" borderId="22" applyNumberFormat="0" applyProtection="0">
      <alignment horizontal="left" vertical="center" indent="1"/>
    </xf>
    <xf numFmtId="0" fontId="21" fillId="52" borderId="22" applyNumberFormat="0" applyProtection="0">
      <alignment horizontal="left" vertical="center" indent="1"/>
    </xf>
    <xf numFmtId="0" fontId="21" fillId="52" borderId="22" applyNumberFormat="0" applyProtection="0">
      <alignment horizontal="left" vertical="center" indent="1"/>
    </xf>
    <xf numFmtId="0" fontId="21" fillId="52" borderId="22" applyNumberFormat="0" applyProtection="0">
      <alignment horizontal="left" vertical="center" indent="1"/>
    </xf>
    <xf numFmtId="0" fontId="21" fillId="52" borderId="22" applyNumberFormat="0" applyProtection="0">
      <alignment horizontal="left" vertical="center" indent="1"/>
    </xf>
    <xf numFmtId="0" fontId="21" fillId="52" borderId="22" applyNumberFormat="0" applyProtection="0">
      <alignment horizontal="left" vertical="center" indent="1"/>
    </xf>
    <xf numFmtId="0" fontId="21" fillId="53" borderId="22" applyNumberFormat="0" applyProtection="0">
      <alignment horizontal="left" vertical="center" indent="1"/>
    </xf>
    <xf numFmtId="0" fontId="21" fillId="53" borderId="22" applyNumberFormat="0" applyProtection="0">
      <alignment horizontal="left" vertical="center" indent="1"/>
    </xf>
    <xf numFmtId="0" fontId="21" fillId="53" borderId="22" applyNumberFormat="0" applyProtection="0">
      <alignment horizontal="left" vertical="center" indent="1"/>
    </xf>
    <xf numFmtId="0" fontId="21" fillId="53" borderId="22" applyNumberFormat="0" applyProtection="0">
      <alignment horizontal="left" vertical="center" indent="1"/>
    </xf>
    <xf numFmtId="0" fontId="21" fillId="53" borderId="22" applyNumberFormat="0" applyProtection="0">
      <alignment horizontal="left" vertical="center" indent="1"/>
    </xf>
    <xf numFmtId="0" fontId="21" fillId="53" borderId="22" applyNumberFormat="0" applyProtection="0">
      <alignment horizontal="left" vertical="center" indent="1"/>
    </xf>
    <xf numFmtId="0" fontId="21" fillId="53" borderId="22" applyNumberFormat="0" applyProtection="0">
      <alignment horizontal="left" vertical="center" indent="1"/>
    </xf>
    <xf numFmtId="0" fontId="21" fillId="53" borderId="22" applyNumberFormat="0" applyProtection="0">
      <alignment horizontal="left" vertical="center" indent="1"/>
    </xf>
    <xf numFmtId="0" fontId="21" fillId="53" borderId="22" applyNumberFormat="0" applyProtection="0">
      <alignment horizontal="left" vertical="center" indent="1"/>
    </xf>
    <xf numFmtId="0" fontId="21" fillId="53" borderId="22" applyNumberFormat="0" applyProtection="0">
      <alignment horizontal="left" vertical="center" indent="1"/>
    </xf>
    <xf numFmtId="0" fontId="21" fillId="53" borderId="22" applyNumberFormat="0" applyProtection="0">
      <alignment horizontal="left" vertical="center" indent="1"/>
    </xf>
    <xf numFmtId="0" fontId="21" fillId="53" borderId="22" applyNumberFormat="0" applyProtection="0">
      <alignment horizontal="left" vertical="center" indent="1"/>
    </xf>
    <xf numFmtId="0" fontId="21" fillId="54" borderId="22" applyNumberFormat="0" applyProtection="0">
      <alignment horizontal="left" vertical="center" indent="1"/>
    </xf>
    <xf numFmtId="0" fontId="21" fillId="54" borderId="22" applyNumberFormat="0" applyProtection="0">
      <alignment horizontal="left" vertical="center" indent="1"/>
    </xf>
    <xf numFmtId="0" fontId="21" fillId="54" borderId="22" applyNumberFormat="0" applyProtection="0">
      <alignment horizontal="left" vertical="center" indent="1"/>
    </xf>
    <xf numFmtId="0" fontId="21" fillId="54" borderId="22" applyNumberFormat="0" applyProtection="0">
      <alignment horizontal="left" vertical="center" indent="1"/>
    </xf>
    <xf numFmtId="0" fontId="21" fillId="54" borderId="22" applyNumberFormat="0" applyProtection="0">
      <alignment horizontal="left" vertical="center" indent="1"/>
    </xf>
    <xf numFmtId="0" fontId="21" fillId="54" borderId="22" applyNumberFormat="0" applyProtection="0">
      <alignment horizontal="left" vertical="center" indent="1"/>
    </xf>
    <xf numFmtId="0" fontId="21" fillId="54" borderId="22" applyNumberFormat="0" applyProtection="0">
      <alignment horizontal="left" vertical="center" indent="1"/>
    </xf>
    <xf numFmtId="0" fontId="21" fillId="54" borderId="22" applyNumberFormat="0" applyProtection="0">
      <alignment horizontal="left" vertical="center" indent="1"/>
    </xf>
    <xf numFmtId="0" fontId="21" fillId="54" borderId="22" applyNumberFormat="0" applyProtection="0">
      <alignment horizontal="left" vertical="center" indent="1"/>
    </xf>
    <xf numFmtId="0" fontId="21" fillId="54" borderId="22" applyNumberFormat="0" applyProtection="0">
      <alignment horizontal="left" vertical="center" indent="1"/>
    </xf>
    <xf numFmtId="0" fontId="21" fillId="54" borderId="22" applyNumberFormat="0" applyProtection="0">
      <alignment horizontal="left" vertical="center" indent="1"/>
    </xf>
    <xf numFmtId="0" fontId="21" fillId="54"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4" fontId="76" fillId="38" borderId="22" applyNumberFormat="0" applyProtection="0">
      <alignment vertical="center"/>
    </xf>
    <xf numFmtId="4" fontId="76" fillId="38" borderId="22" applyNumberFormat="0" applyProtection="0">
      <alignment vertical="center"/>
    </xf>
    <xf numFmtId="4" fontId="77" fillId="38" borderId="22" applyNumberFormat="0" applyProtection="0">
      <alignment vertical="center"/>
    </xf>
    <xf numFmtId="4" fontId="77" fillId="38" borderId="22" applyNumberFormat="0" applyProtection="0">
      <alignment vertical="center"/>
    </xf>
    <xf numFmtId="4" fontId="76" fillId="38" borderId="22" applyNumberFormat="0" applyProtection="0">
      <alignment horizontal="left" vertical="center" indent="1"/>
    </xf>
    <xf numFmtId="4" fontId="76" fillId="38" borderId="22" applyNumberFormat="0" applyProtection="0">
      <alignment horizontal="left" vertical="center" indent="1"/>
    </xf>
    <xf numFmtId="4" fontId="76" fillId="38" borderId="22" applyNumberFormat="0" applyProtection="0">
      <alignment horizontal="left" vertical="center" indent="1"/>
    </xf>
    <xf numFmtId="4" fontId="76" fillId="38" borderId="22" applyNumberFormat="0" applyProtection="0">
      <alignment horizontal="left" vertical="center" indent="1"/>
    </xf>
    <xf numFmtId="4" fontId="76" fillId="51" borderId="22" applyNumberFormat="0" applyProtection="0">
      <alignment horizontal="right" vertical="center"/>
    </xf>
    <xf numFmtId="4" fontId="76" fillId="51" borderId="22" applyNumberFormat="0" applyProtection="0">
      <alignment horizontal="right" vertical="center"/>
    </xf>
    <xf numFmtId="4" fontId="77" fillId="51" borderId="22" applyNumberFormat="0" applyProtection="0">
      <alignment horizontal="right" vertical="center"/>
    </xf>
    <xf numFmtId="4" fontId="77" fillId="51" borderId="22" applyNumberFormat="0" applyProtection="0">
      <alignment horizontal="right" vertical="center"/>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21" fillId="42" borderId="22" applyNumberFormat="0" applyProtection="0">
      <alignment horizontal="left" vertical="center" indent="1"/>
    </xf>
    <xf numFmtId="0" fontId="80" fillId="0" borderId="0"/>
    <xf numFmtId="0" fontId="80" fillId="0" borderId="0"/>
    <xf numFmtId="4" fontId="81" fillId="51" borderId="22" applyNumberFormat="0" applyProtection="0">
      <alignment horizontal="right" vertical="center"/>
    </xf>
    <xf numFmtId="4" fontId="81" fillId="51" borderId="22" applyNumberFormat="0" applyProtection="0">
      <alignment horizontal="right" vertical="center"/>
    </xf>
    <xf numFmtId="0" fontId="18" fillId="1" borderId="25" applyNumberFormat="0" applyFont="0" applyBorder="0" applyProtection="0">
      <alignment horizontal="left"/>
    </xf>
    <xf numFmtId="0" fontId="21" fillId="1" borderId="25" applyNumberFormat="0" applyFont="0" applyBorder="0" applyProtection="0">
      <alignment horizontal="left"/>
    </xf>
    <xf numFmtId="0" fontId="21" fillId="1" borderId="25" applyNumberFormat="0" applyFont="0" applyBorder="0" applyProtection="0">
      <alignment horizontal="left"/>
    </xf>
    <xf numFmtId="0" fontId="21" fillId="1" borderId="25" applyNumberFormat="0" applyFont="0" applyBorder="0" applyProtection="0">
      <alignment horizontal="left"/>
    </xf>
    <xf numFmtId="0" fontId="21" fillId="1" borderId="25" applyNumberFormat="0" applyFont="0" applyBorder="0" applyProtection="0">
      <alignment horizontal="left"/>
    </xf>
    <xf numFmtId="0" fontId="21" fillId="1" borderId="25" applyNumberFormat="0" applyFont="0" applyBorder="0" applyProtection="0">
      <alignment horizontal="left"/>
    </xf>
    <xf numFmtId="0" fontId="18" fillId="1" borderId="25" applyNumberFormat="0" applyFont="0" applyBorder="0" applyProtection="0">
      <alignment horizontal="left"/>
    </xf>
    <xf numFmtId="0" fontId="18" fillId="1" borderId="25" applyNumberFormat="0" applyFont="0" applyBorder="0" applyProtection="0">
      <alignment horizontal="left"/>
    </xf>
    <xf numFmtId="0" fontId="43" fillId="1" borderId="25" applyNumberFormat="0" applyFont="0" applyBorder="0" applyProtection="0">
      <alignment horizontal="left"/>
    </xf>
    <xf numFmtId="0" fontId="51" fillId="0" borderId="26"/>
    <xf numFmtId="0" fontId="82" fillId="0" borderId="0">
      <alignment horizontal="left"/>
    </xf>
    <xf numFmtId="0" fontId="83" fillId="0" borderId="0">
      <alignment horizontal="left"/>
    </xf>
    <xf numFmtId="0" fontId="34" fillId="0" borderId="0"/>
    <xf numFmtId="0" fontId="34" fillId="0" borderId="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6" fillId="0" borderId="27" applyNumberFormat="0" applyFill="0" applyAlignment="0" applyProtection="0"/>
    <xf numFmtId="0" fontId="86" fillId="0" borderId="27" applyNumberFormat="0" applyFill="0" applyAlignment="0" applyProtection="0"/>
    <xf numFmtId="0" fontId="86" fillId="0" borderId="27" applyNumberFormat="0" applyFill="0" applyAlignment="0" applyProtection="0"/>
    <xf numFmtId="0" fontId="86" fillId="0" borderId="27" applyNumberFormat="0" applyFill="0" applyAlignment="0" applyProtection="0"/>
    <xf numFmtId="0" fontId="86" fillId="0" borderId="27" applyNumberFormat="0" applyFill="0" applyAlignment="0" applyProtection="0"/>
    <xf numFmtId="0" fontId="86" fillId="0" borderId="27" applyNumberFormat="0" applyFill="0" applyAlignment="0" applyProtection="0"/>
    <xf numFmtId="0" fontId="86" fillId="0" borderId="27" applyNumberFormat="0" applyFill="0" applyAlignment="0" applyProtection="0"/>
    <xf numFmtId="0" fontId="86" fillId="0" borderId="27" applyNumberFormat="0" applyFill="0" applyAlignment="0" applyProtection="0"/>
    <xf numFmtId="0" fontId="86" fillId="0" borderId="27" applyNumberFormat="0" applyFill="0" applyAlignment="0" applyProtection="0"/>
    <xf numFmtId="0" fontId="86" fillId="0" borderId="27" applyNumberFormat="0" applyFill="0" applyAlignment="0" applyProtection="0"/>
    <xf numFmtId="0" fontId="86" fillId="0" borderId="27" applyNumberFormat="0" applyFill="0" applyAlignment="0" applyProtection="0"/>
    <xf numFmtId="0" fontId="86" fillId="0" borderId="27" applyNumberFormat="0" applyFill="0" applyAlignment="0" applyProtection="0"/>
    <xf numFmtId="0" fontId="86" fillId="0" borderId="28" applyNumberFormat="0" applyFill="0" applyAlignment="0" applyProtection="0"/>
    <xf numFmtId="0" fontId="86" fillId="0" borderId="27" applyNumberFormat="0" applyFill="0" applyAlignment="0" applyProtection="0"/>
    <xf numFmtId="0" fontId="86" fillId="0" borderId="28" applyNumberFormat="0" applyFill="0" applyAlignment="0" applyProtection="0"/>
    <xf numFmtId="0" fontId="86" fillId="0" borderId="28" applyNumberFormat="0" applyFill="0" applyAlignment="0" applyProtection="0"/>
    <xf numFmtId="0" fontId="86" fillId="0" borderId="27" applyNumberFormat="0" applyFill="0" applyAlignment="0" applyProtection="0"/>
    <xf numFmtId="0" fontId="86" fillId="0" borderId="28" applyNumberFormat="0" applyFill="0" applyAlignment="0" applyProtection="0"/>
    <xf numFmtId="0" fontId="86" fillId="0" borderId="27" applyNumberFormat="0" applyFill="0" applyAlignment="0" applyProtection="0"/>
    <xf numFmtId="0" fontId="18" fillId="0" borderId="3" applyProtection="0">
      <alignment horizontal="left"/>
    </xf>
    <xf numFmtId="0" fontId="21" fillId="0" borderId="3" applyProtection="0">
      <alignment horizontal="left"/>
    </xf>
    <xf numFmtId="0" fontId="21" fillId="0" borderId="3" applyProtection="0">
      <alignment horizontal="left"/>
    </xf>
    <xf numFmtId="0" fontId="21" fillId="0" borderId="3" applyProtection="0">
      <alignment horizontal="left"/>
    </xf>
    <xf numFmtId="0" fontId="21" fillId="0" borderId="3" applyProtection="0">
      <alignment horizontal="left"/>
    </xf>
    <xf numFmtId="0" fontId="21" fillId="0" borderId="3" applyProtection="0">
      <alignment horizontal="left"/>
    </xf>
    <xf numFmtId="0" fontId="18" fillId="0" borderId="3" applyProtection="0">
      <alignment horizontal="left"/>
    </xf>
    <xf numFmtId="0" fontId="43" fillId="0" borderId="3" applyProtection="0">
      <alignment horizontal="left"/>
    </xf>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8" fillId="0" borderId="0" applyFont="0" applyFill="0" applyBorder="0" applyAlignment="0" applyProtection="0"/>
    <xf numFmtId="4" fontId="21" fillId="0" borderId="0"/>
    <xf numFmtId="3" fontId="21" fillId="0" borderId="0"/>
    <xf numFmtId="186" fontId="21" fillId="0" borderId="0"/>
    <xf numFmtId="14" fontId="21" fillId="0" borderId="0"/>
    <xf numFmtId="2" fontId="21" fillId="0" borderId="0"/>
    <xf numFmtId="0" fontId="21" fillId="0" borderId="0"/>
    <xf numFmtId="0" fontId="26" fillId="10" borderId="0" applyNumberFormat="0" applyBorder="0" applyAlignment="0" applyProtection="0"/>
    <xf numFmtId="0" fontId="26" fillId="12" borderId="0" applyNumberFormat="0" applyBorder="0" applyAlignment="0" applyProtection="0"/>
    <xf numFmtId="0" fontId="26" fillId="14"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3"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16" borderId="0" applyNumberFormat="0" applyBorder="0" applyAlignment="0" applyProtection="0"/>
    <xf numFmtId="0" fontId="26" fillId="18" borderId="0" applyNumberFormat="0" applyBorder="0" applyAlignment="0" applyProtection="0"/>
    <xf numFmtId="0" fontId="26" fillId="23"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6" borderId="0" applyNumberFormat="0" applyBorder="0" applyAlignment="0" applyProtection="0"/>
    <xf numFmtId="0" fontId="27" fillId="25" borderId="0" applyNumberFormat="0" applyBorder="0" applyAlignment="0" applyProtection="0"/>
    <xf numFmtId="0" fontId="27" fillId="27" borderId="0" applyNumberFormat="0" applyBorder="0" applyAlignment="0" applyProtection="0"/>
    <xf numFmtId="0" fontId="26" fillId="64" borderId="0" applyNumberFormat="0" applyBorder="0" applyAlignment="0" applyProtection="0"/>
    <xf numFmtId="0" fontId="26" fillId="65" borderId="0" applyNumberFormat="0" applyBorder="0" applyAlignment="0" applyProtection="0"/>
    <xf numFmtId="0" fontId="27" fillId="66" borderId="0" applyNumberFormat="0" applyBorder="0" applyAlignment="0" applyProtection="0"/>
    <xf numFmtId="0" fontId="27" fillId="28" borderId="0" applyNumberFormat="0" applyBorder="0" applyAlignment="0" applyProtection="0"/>
    <xf numFmtId="0" fontId="26" fillId="67" borderId="0" applyNumberFormat="0" applyBorder="0" applyAlignment="0" applyProtection="0"/>
    <xf numFmtId="0" fontId="26" fillId="68" borderId="0" applyNumberFormat="0" applyBorder="0" applyAlignment="0" applyProtection="0"/>
    <xf numFmtId="0" fontId="27" fillId="69" borderId="0" applyNumberFormat="0" applyBorder="0" applyAlignment="0" applyProtection="0"/>
    <xf numFmtId="0" fontId="27" fillId="29" borderId="0" applyNumberFormat="0" applyBorder="0" applyAlignment="0" applyProtection="0"/>
    <xf numFmtId="0" fontId="26" fillId="70" borderId="0" applyNumberFormat="0" applyBorder="0" applyAlignment="0" applyProtection="0"/>
    <xf numFmtId="0" fontId="26" fillId="71" borderId="0" applyNumberFormat="0" applyBorder="0" applyAlignment="0" applyProtection="0"/>
    <xf numFmtId="0" fontId="27" fillId="72" borderId="0" applyNumberFormat="0" applyBorder="0" applyAlignment="0" applyProtection="0"/>
    <xf numFmtId="0" fontId="27" fillId="30" borderId="0" applyNumberFormat="0" applyBorder="0" applyAlignment="0" applyProtection="0"/>
    <xf numFmtId="0" fontId="26" fillId="71" borderId="0" applyNumberFormat="0" applyBorder="0" applyAlignment="0" applyProtection="0"/>
    <xf numFmtId="0" fontId="26" fillId="72" borderId="0" applyNumberFormat="0" applyBorder="0" applyAlignment="0" applyProtection="0"/>
    <xf numFmtId="0" fontId="27" fillId="72" borderId="0" applyNumberFormat="0" applyBorder="0" applyAlignment="0" applyProtection="0"/>
    <xf numFmtId="0" fontId="27" fillId="26" borderId="0" applyNumberFormat="0" applyBorder="0" applyAlignment="0" applyProtection="0"/>
    <xf numFmtId="0" fontId="26" fillId="64" borderId="0" applyNumberFormat="0" applyBorder="0" applyAlignment="0" applyProtection="0"/>
    <xf numFmtId="0" fontId="26" fillId="65" borderId="0" applyNumberFormat="0" applyBorder="0" applyAlignment="0" applyProtection="0"/>
    <xf numFmtId="0" fontId="27" fillId="65" borderId="0" applyNumberFormat="0" applyBorder="0" applyAlignment="0" applyProtection="0"/>
    <xf numFmtId="0" fontId="27" fillId="25" borderId="0" applyNumberFormat="0" applyBorder="0" applyAlignment="0" applyProtection="0"/>
    <xf numFmtId="0" fontId="26" fillId="73" borderId="0" applyNumberFormat="0" applyBorder="0" applyAlignment="0" applyProtection="0"/>
    <xf numFmtId="0" fontId="26" fillId="68" borderId="0" applyNumberFormat="0" applyBorder="0" applyAlignment="0" applyProtection="0"/>
    <xf numFmtId="0" fontId="27" fillId="72" borderId="0" applyNumberFormat="0" applyBorder="0" applyAlignment="0" applyProtection="0"/>
    <xf numFmtId="0" fontId="27" fillId="32" borderId="0" applyNumberFormat="0" applyBorder="0" applyAlignment="0" applyProtection="0"/>
    <xf numFmtId="3" fontId="29" fillId="33" borderId="0" applyNumberFormat="0" applyFont="0" applyBorder="0" applyAlignment="0" applyProtection="0"/>
    <xf numFmtId="3" fontId="29" fillId="33" borderId="0" applyNumberFormat="0" applyFont="0" applyBorder="0" applyAlignment="0" applyProtection="0"/>
    <xf numFmtId="0" fontId="108" fillId="0" borderId="0" applyNumberFormat="0" applyFill="0" applyBorder="0" applyAlignment="0">
      <protection locked="0"/>
    </xf>
    <xf numFmtId="0" fontId="32" fillId="0" borderId="0"/>
    <xf numFmtId="0" fontId="32" fillId="0" borderId="0"/>
    <xf numFmtId="0" fontId="32" fillId="0" borderId="0"/>
    <xf numFmtId="0" fontId="35" fillId="12" borderId="0" applyNumberFormat="0" applyBorder="0" applyAlignment="0" applyProtection="0"/>
    <xf numFmtId="183" fontId="106" fillId="74" borderId="0" applyNumberFormat="0" applyFont="0" applyBorder="0" applyAlignment="0" applyProtection="0"/>
    <xf numFmtId="183" fontId="106" fillId="74" borderId="0" applyFont="0" applyBorder="0" applyAlignment="0" applyProtection="0"/>
    <xf numFmtId="0" fontId="37" fillId="19" borderId="66" applyNumberFormat="0" applyAlignment="0" applyProtection="0"/>
    <xf numFmtId="0" fontId="38" fillId="34" borderId="13" applyNumberFormat="0" applyAlignment="0" applyProtection="0"/>
    <xf numFmtId="174" fontId="40" fillId="0" borderId="0" applyFill="0" applyBorder="0" applyAlignment="0" applyProtection="0"/>
    <xf numFmtId="174" fontId="40" fillId="0" borderId="0" applyFill="0" applyBorder="0" applyAlignment="0" applyProtection="0"/>
    <xf numFmtId="175" fontId="40" fillId="0" borderId="0" applyFill="0" applyBorder="0" applyAlignment="0" applyProtection="0"/>
    <xf numFmtId="175" fontId="40" fillId="0" borderId="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40" fillId="0" borderId="4" applyFill="0" applyBorder="0" applyAlignment="0" applyProtection="0"/>
    <xf numFmtId="176" fontId="41" fillId="0" borderId="4" applyFill="0" applyBorder="0" applyAlignment="0" applyProtection="0"/>
    <xf numFmtId="176" fontId="40" fillId="0" borderId="4"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7" fontId="41" fillId="0" borderId="3" applyFill="0" applyBorder="0" applyAlignment="0" applyProtection="0">
      <alignment horizontal="right"/>
    </xf>
    <xf numFmtId="177" fontId="40" fillId="0" borderId="3" applyFill="0" applyBorder="0" applyAlignment="0" applyProtection="0">
      <alignment horizontal="right"/>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8" fontId="40" fillId="0" borderId="3" applyFill="0" applyBorder="0" applyAlignment="0" applyProtection="0">
      <alignment horizontal="right"/>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9" fontId="18"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44" fontId="21" fillId="0" borderId="0" applyFont="0" applyFill="0" applyBorder="0" applyAlignment="0" applyProtection="0"/>
    <xf numFmtId="179" fontId="40" fillId="0" borderId="0" applyFill="0" applyBorder="0" applyAlignment="0" applyProtection="0"/>
    <xf numFmtId="44" fontId="21" fillId="0" borderId="0" applyFont="0" applyFill="0" applyBorder="0" applyAlignment="0" applyProtection="0"/>
    <xf numFmtId="180" fontId="40" fillId="0" borderId="9"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86" fillId="75" borderId="0" applyNumberFormat="0" applyBorder="0" applyAlignment="0" applyProtection="0"/>
    <xf numFmtId="0" fontId="86" fillId="76" borderId="0" applyNumberFormat="0" applyBorder="0" applyAlignment="0" applyProtection="0"/>
    <xf numFmtId="0" fontId="86" fillId="77" borderId="0" applyNumberFormat="0" applyBorder="0" applyAlignment="0" applyProtection="0"/>
    <xf numFmtId="0" fontId="50" fillId="0" borderId="0" applyNumberFormat="0" applyFill="0" applyBorder="0" applyAlignment="0" applyProtection="0"/>
    <xf numFmtId="0" fontId="52" fillId="14" borderId="0" applyNumberFormat="0" applyBorder="0" applyAlignment="0" applyProtection="0"/>
    <xf numFmtId="0" fontId="54" fillId="0" borderId="15" applyNumberFormat="0" applyFill="0" applyAlignment="0" applyProtection="0"/>
    <xf numFmtId="0" fontId="56" fillId="0" borderId="17" applyNumberFormat="0" applyFill="0" applyAlignment="0" applyProtection="0"/>
    <xf numFmtId="0" fontId="58" fillId="0" borderId="18" applyNumberFormat="0" applyFill="0" applyAlignment="0" applyProtection="0"/>
    <xf numFmtId="0" fontId="58" fillId="0" borderId="0" applyNumberFormat="0" applyFill="0" applyBorder="0" applyAlignment="0" applyProtection="0"/>
    <xf numFmtId="0" fontId="109" fillId="0" borderId="0" applyNumberFormat="0" applyFill="0" applyBorder="0" applyAlignment="0" applyProtection="0">
      <alignment vertical="top"/>
      <protection locked="0"/>
    </xf>
    <xf numFmtId="10" fontId="62" fillId="35" borderId="0" applyNumberFormat="0" applyFont="0" applyBorder="0" applyAlignment="0" applyProtection="0"/>
    <xf numFmtId="10" fontId="62" fillId="35" borderId="0" applyNumberFormat="0" applyFont="0" applyBorder="0" applyAlignment="0" applyProtection="0"/>
    <xf numFmtId="10" fontId="62" fillId="35" borderId="0" applyNumberFormat="0" applyFont="0" applyBorder="0" applyAlignment="0" applyProtection="0"/>
    <xf numFmtId="10" fontId="62" fillId="35" borderId="0" applyNumberFormat="0" applyFont="0" applyBorder="0" applyAlignment="0" applyProtection="0"/>
    <xf numFmtId="0" fontId="61" fillId="13" borderId="66" applyNumberFormat="0" applyAlignment="0" applyProtection="0"/>
    <xf numFmtId="0" fontId="48" fillId="36" borderId="0" applyNumberFormat="0" applyFont="0" applyBorder="0" applyAlignment="0" applyProtection="0"/>
    <xf numFmtId="0" fontId="48" fillId="36" borderId="0" applyNumberFormat="0" applyFont="0" applyBorder="0" applyAlignment="0" applyProtection="0"/>
    <xf numFmtId="0" fontId="64" fillId="0" borderId="20" applyNumberFormat="0" applyFill="0" applyAlignment="0" applyProtection="0"/>
    <xf numFmtId="0" fontId="48" fillId="37" borderId="0" applyNumberFormat="0" applyFont="0" applyBorder="0" applyAlignment="0" applyProtection="0"/>
    <xf numFmtId="0" fontId="48" fillId="37" borderId="0" applyNumberFormat="0" applyFont="0" applyBorder="0" applyAlignment="0" applyProtection="0"/>
    <xf numFmtId="0" fontId="65" fillId="2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63" borderId="63" applyNumberFormat="0" applyFont="0" applyAlignment="0" applyProtection="0"/>
    <xf numFmtId="0" fontId="70" fillId="19" borderId="67"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71" fillId="39" borderId="23" applyNumberFormat="0" applyFont="0" applyFill="0" applyAlignment="0" applyProtection="0">
      <alignment horizontal="center"/>
    </xf>
    <xf numFmtId="0" fontId="71" fillId="39" borderId="23" applyNumberFormat="0" applyFont="0" applyFill="0" applyAlignment="0" applyProtection="0">
      <alignment horizontal="center"/>
    </xf>
    <xf numFmtId="0" fontId="73" fillId="0" borderId="0" applyNumberFormat="0" applyFill="0" applyBorder="0" applyAlignment="0" applyProtection="0"/>
    <xf numFmtId="0" fontId="73" fillId="0" borderId="0" applyNumberFormat="0" applyFill="0" applyBorder="0" applyAlignment="0" applyProtection="0"/>
    <xf numFmtId="0" fontId="75" fillId="40" borderId="0" applyNumberFormat="0" applyBorder="0" applyAlignment="0" applyProtection="0"/>
    <xf numFmtId="0" fontId="75" fillId="40" borderId="0" applyNumberFormat="0" applyBorder="0" applyAlignment="0" applyProtection="0"/>
    <xf numFmtId="4" fontId="79" fillId="41" borderId="68" applyNumberFormat="0" applyProtection="0">
      <alignment vertical="center"/>
    </xf>
    <xf numFmtId="4" fontId="110" fillId="41" borderId="68" applyNumberFormat="0" applyProtection="0">
      <alignment vertical="center"/>
    </xf>
    <xf numFmtId="4" fontId="111" fillId="41" borderId="68" applyNumberFormat="0" applyProtection="0">
      <alignment horizontal="left" vertical="center" indent="1"/>
    </xf>
    <xf numFmtId="0" fontId="21" fillId="42" borderId="67" applyNumberFormat="0" applyProtection="0">
      <alignment horizontal="left" vertical="center" indent="1"/>
    </xf>
    <xf numFmtId="0" fontId="21" fillId="42" borderId="67" applyNumberFormat="0" applyProtection="0">
      <alignment horizontal="left" vertical="center" indent="1"/>
    </xf>
    <xf numFmtId="4" fontId="111" fillId="78" borderId="0" applyNumberFormat="0" applyProtection="0">
      <alignment horizontal="left" vertical="center" indent="1"/>
    </xf>
    <xf numFmtId="4" fontId="111" fillId="44" borderId="68" applyNumberFormat="0" applyProtection="0">
      <alignment horizontal="right" vertical="center"/>
    </xf>
    <xf numFmtId="4" fontId="111" fillId="33" borderId="68" applyNumberFormat="0" applyProtection="0">
      <alignment horizontal="right" vertical="center"/>
    </xf>
    <xf numFmtId="4" fontId="111" fillId="43" borderId="68" applyNumberFormat="0" applyProtection="0">
      <alignment horizontal="right" vertical="center"/>
    </xf>
    <xf numFmtId="4" fontId="111" fillId="79" borderId="68" applyNumberFormat="0" applyProtection="0">
      <alignment horizontal="right" vertical="center"/>
    </xf>
    <xf numFmtId="4" fontId="111" fillId="45" borderId="68" applyNumberFormat="0" applyProtection="0">
      <alignment horizontal="right" vertical="center"/>
    </xf>
    <xf numFmtId="4" fontId="111" fillId="80" borderId="68" applyNumberFormat="0" applyProtection="0">
      <alignment horizontal="right" vertical="center"/>
    </xf>
    <xf numFmtId="4" fontId="111" fillId="49" borderId="68" applyNumberFormat="0" applyProtection="0">
      <alignment horizontal="right" vertical="center"/>
    </xf>
    <xf numFmtId="4" fontId="111" fillId="48" borderId="68" applyNumberFormat="0" applyProtection="0">
      <alignment horizontal="right" vertical="center"/>
    </xf>
    <xf numFmtId="4" fontId="111" fillId="81" borderId="68" applyNumberFormat="0" applyProtection="0">
      <alignment horizontal="right" vertical="center"/>
    </xf>
    <xf numFmtId="4" fontId="79" fillId="82" borderId="69" applyNumberFormat="0" applyProtection="0">
      <alignment horizontal="left" vertical="center" indent="1"/>
    </xf>
    <xf numFmtId="4" fontId="79" fillId="82" borderId="69" applyNumberFormat="0" applyProtection="0">
      <alignment horizontal="left" vertical="center" indent="1"/>
    </xf>
    <xf numFmtId="4" fontId="78" fillId="50" borderId="67" applyNumberFormat="0" applyProtection="0">
      <alignment horizontal="left" vertical="center" indent="1"/>
    </xf>
    <xf numFmtId="4" fontId="79" fillId="83" borderId="0" applyNumberFormat="0" applyProtection="0">
      <alignment horizontal="left" vertical="center" indent="1"/>
    </xf>
    <xf numFmtId="4" fontId="79" fillId="83" borderId="0" applyNumberFormat="0" applyProtection="0">
      <alignment horizontal="left" vertical="center" indent="1"/>
    </xf>
    <xf numFmtId="4" fontId="76" fillId="51" borderId="70" applyNumberFormat="0" applyProtection="0">
      <alignment horizontal="left" vertical="center" indent="1"/>
    </xf>
    <xf numFmtId="4" fontId="79" fillId="36" borderId="0" applyNumberFormat="0" applyProtection="0">
      <alignment horizontal="left" vertical="center" indent="1"/>
    </xf>
    <xf numFmtId="4" fontId="79" fillId="36" borderId="0" applyNumberFormat="0" applyProtection="0">
      <alignment horizontal="left" vertical="center" indent="1"/>
    </xf>
    <xf numFmtId="0" fontId="21" fillId="42" borderId="67" applyNumberFormat="0" applyProtection="0">
      <alignment horizontal="left" vertical="center" indent="1"/>
    </xf>
    <xf numFmtId="0" fontId="21" fillId="42" borderId="67" applyNumberFormat="0" applyProtection="0">
      <alignment horizontal="left" vertical="center" indent="1"/>
    </xf>
    <xf numFmtId="4" fontId="76" fillId="51" borderId="67" applyNumberFormat="0" applyProtection="0">
      <alignment horizontal="left" vertical="center" indent="1"/>
    </xf>
    <xf numFmtId="4" fontId="76" fillId="83" borderId="0" applyNumberFormat="0" applyProtection="0">
      <alignment horizontal="left" vertical="center" indent="1"/>
    </xf>
    <xf numFmtId="4" fontId="76" fillId="51" borderId="67" applyNumberFormat="0" applyProtection="0">
      <alignment horizontal="left" vertical="center" indent="1"/>
    </xf>
    <xf numFmtId="4" fontId="76" fillId="52" borderId="67" applyNumberFormat="0" applyProtection="0">
      <alignment horizontal="left" vertical="center" indent="1"/>
    </xf>
    <xf numFmtId="4" fontId="76" fillId="36" borderId="0" applyNumberFormat="0" applyProtection="0">
      <alignment horizontal="left" vertical="center" indent="1"/>
    </xf>
    <xf numFmtId="4" fontId="76" fillId="52" borderId="67" applyNumberFormat="0" applyProtection="0">
      <alignment horizontal="left" vertical="center" indent="1"/>
    </xf>
    <xf numFmtId="0" fontId="21" fillId="52" borderId="67" applyNumberFormat="0" applyProtection="0">
      <alignment horizontal="left" vertical="center" indent="1"/>
    </xf>
    <xf numFmtId="0" fontId="21" fillId="52" borderId="67" applyNumberFormat="0" applyProtection="0">
      <alignment horizontal="left" vertical="center" indent="1"/>
    </xf>
    <xf numFmtId="0" fontId="21" fillId="53" borderId="67" applyNumberFormat="0" applyProtection="0">
      <alignment horizontal="left" vertical="center" indent="1"/>
    </xf>
    <xf numFmtId="0" fontId="21" fillId="53" borderId="67" applyNumberFormat="0" applyProtection="0">
      <alignment horizontal="left" vertical="center" indent="1"/>
    </xf>
    <xf numFmtId="0" fontId="21" fillId="54" borderId="67" applyNumberFormat="0" applyProtection="0">
      <alignment horizontal="left" vertical="center" indent="1"/>
    </xf>
    <xf numFmtId="0" fontId="21" fillId="54" borderId="67" applyNumberFormat="0" applyProtection="0">
      <alignment horizontal="left" vertical="center" indent="1"/>
    </xf>
    <xf numFmtId="0" fontId="21" fillId="42" borderId="67" applyNumberFormat="0" applyProtection="0">
      <alignment horizontal="left" vertical="center" indent="1"/>
    </xf>
    <xf numFmtId="0" fontId="21" fillId="42" borderId="67" applyNumberFormat="0" applyProtection="0">
      <alignment horizontal="left" vertical="center" indent="1"/>
    </xf>
    <xf numFmtId="0" fontId="21" fillId="11" borderId="4" applyNumberFormat="0">
      <protection locked="0"/>
    </xf>
    <xf numFmtId="0" fontId="112" fillId="31" borderId="71" applyBorder="0"/>
    <xf numFmtId="4" fontId="111" fillId="84" borderId="68" applyNumberFormat="0" applyProtection="0">
      <alignment vertical="center"/>
    </xf>
    <xf numFmtId="4" fontId="113" fillId="84" borderId="68" applyNumberFormat="0" applyProtection="0">
      <alignment vertical="center"/>
    </xf>
    <xf numFmtId="4" fontId="79" fillId="83" borderId="72" applyNumberFormat="0" applyProtection="0">
      <alignment horizontal="left" vertical="center" indent="1"/>
    </xf>
    <xf numFmtId="4" fontId="76" fillId="84" borderId="68" applyNumberFormat="0" applyProtection="0">
      <alignment horizontal="right" vertical="center"/>
    </xf>
    <xf numFmtId="4" fontId="111" fillId="84" borderId="68" applyNumberFormat="0" applyProtection="0">
      <alignment horizontal="right" vertical="center"/>
    </xf>
    <xf numFmtId="4" fontId="76" fillId="51" borderId="67" applyNumberFormat="0" applyProtection="0">
      <alignment horizontal="right" vertical="center"/>
    </xf>
    <xf numFmtId="4" fontId="76" fillId="84" borderId="68" applyNumberFormat="0" applyProtection="0">
      <alignment horizontal="right" vertical="center"/>
    </xf>
    <xf numFmtId="4" fontId="113" fillId="84" borderId="68" applyNumberFormat="0" applyProtection="0">
      <alignment horizontal="right" vertical="center"/>
    </xf>
    <xf numFmtId="0" fontId="21" fillId="42" borderId="67" applyNumberFormat="0" applyProtection="0">
      <alignment horizontal="left" vertical="center" indent="1"/>
    </xf>
    <xf numFmtId="0" fontId="21" fillId="42" borderId="67" applyNumberFormat="0" applyProtection="0">
      <alignment horizontal="left" vertical="center" indent="1"/>
    </xf>
    <xf numFmtId="4" fontId="21" fillId="85" borderId="0" applyNumberFormat="0" applyProtection="0">
      <alignment horizontal="left" vertical="center"/>
    </xf>
    <xf numFmtId="4" fontId="21" fillId="83" borderId="68" applyNumberFormat="0" applyProtection="0">
      <alignment horizontal="left" vertical="center" indent="1"/>
    </xf>
    <xf numFmtId="0" fontId="21" fillId="42" borderId="67" applyNumberFormat="0" applyProtection="0">
      <alignment horizontal="left" vertical="center" indent="1"/>
    </xf>
    <xf numFmtId="4" fontId="114" fillId="86" borderId="72" applyNumberFormat="0" applyProtection="0">
      <alignment horizontal="left" vertical="center" indent="1"/>
    </xf>
    <xf numFmtId="4" fontId="114" fillId="86" borderId="72" applyNumberFormat="0" applyProtection="0">
      <alignment horizontal="left" vertical="center" indent="1"/>
    </xf>
    <xf numFmtId="0" fontId="80" fillId="0" borderId="0"/>
    <xf numFmtId="0" fontId="80" fillId="0" borderId="0"/>
    <xf numFmtId="0" fontId="106" fillId="87" borderId="4"/>
    <xf numFmtId="4" fontId="115" fillId="84" borderId="68" applyNumberFormat="0" applyProtection="0">
      <alignment horizontal="right" vertical="center"/>
    </xf>
    <xf numFmtId="0" fontId="85" fillId="0" borderId="0" applyNumberFormat="0" applyFill="0" applyBorder="0" applyAlignment="0" applyProtection="0"/>
    <xf numFmtId="190" fontId="21" fillId="0" borderId="0"/>
    <xf numFmtId="0" fontId="34" fillId="0" borderId="0"/>
    <xf numFmtId="0" fontId="34" fillId="0" borderId="0"/>
    <xf numFmtId="0" fontId="84" fillId="0" borderId="0" applyNumberFormat="0" applyFill="0" applyBorder="0" applyAlignment="0" applyProtection="0"/>
    <xf numFmtId="0" fontId="86" fillId="0" borderId="73" applyNumberFormat="0" applyFill="0" applyAlignment="0" applyProtection="0"/>
    <xf numFmtId="0" fontId="87" fillId="0" borderId="0" applyNumberFormat="0" applyFill="0" applyBorder="0" applyAlignment="0" applyProtection="0"/>
    <xf numFmtId="183" fontId="106" fillId="15" borderId="0" applyNumberFormat="0" applyFont="0" applyBorder="0" applyAlignment="0" applyProtection="0"/>
    <xf numFmtId="192" fontId="21" fillId="0" borderId="0"/>
    <xf numFmtId="43" fontId="98" fillId="0" borderId="0" applyFont="0" applyFill="0" applyBorder="0" applyAlignment="0" applyProtection="0"/>
    <xf numFmtId="192" fontId="98" fillId="0" borderId="0"/>
    <xf numFmtId="9" fontId="98" fillId="0" borderId="0" applyFont="0" applyFill="0" applyBorder="0" applyAlignment="0" applyProtection="0"/>
    <xf numFmtId="44" fontId="135" fillId="0" borderId="0" applyFont="0" applyFill="0" applyBorder="0" applyAlignment="0" applyProtection="0"/>
    <xf numFmtId="43" fontId="135" fillId="0" borderId="0" applyFont="0" applyFill="0" applyBorder="0" applyAlignment="0" applyProtection="0"/>
    <xf numFmtId="192" fontId="21" fillId="0" borderId="0"/>
    <xf numFmtId="9" fontId="118" fillId="0" borderId="0" applyFont="0" applyFill="0" applyBorder="0" applyAlignment="0" applyProtection="0"/>
    <xf numFmtId="192" fontId="154" fillId="0" borderId="0" applyNumberFormat="0" applyFill="0" applyBorder="0" applyAlignment="0" applyProtection="0">
      <alignment vertical="top"/>
      <protection locked="0"/>
    </xf>
    <xf numFmtId="192" fontId="98"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18" fillId="0" borderId="0"/>
    <xf numFmtId="43" fontId="21" fillId="0" borderId="0" applyFont="0" applyFill="0" applyBorder="0" applyAlignment="0" applyProtection="0"/>
  </cellStyleXfs>
  <cellXfs count="1235">
    <xf numFmtId="0" fontId="0" fillId="0" borderId="0" xfId="0"/>
    <xf numFmtId="9" fontId="0" fillId="0" borderId="0" xfId="0" applyNumberFormat="1"/>
    <xf numFmtId="164" fontId="0" fillId="0" borderId="0" xfId="1" applyNumberFormat="1" applyFont="1"/>
    <xf numFmtId="0" fontId="0" fillId="0" borderId="0" xfId="0" applyAlignment="1">
      <alignment horizontal="left" indent="1"/>
    </xf>
    <xf numFmtId="0" fontId="0" fillId="2" borderId="0" xfId="0" applyFill="1"/>
    <xf numFmtId="166" fontId="0" fillId="0" borderId="0" xfId="0" applyNumberFormat="1"/>
    <xf numFmtId="164" fontId="0" fillId="0" borderId="0" xfId="0" applyNumberFormat="1"/>
    <xf numFmtId="164" fontId="0" fillId="2" borderId="0" xfId="1" applyNumberFormat="1" applyFont="1" applyFill="1"/>
    <xf numFmtId="8" fontId="0" fillId="0" borderId="0" xfId="0" applyNumberFormat="1"/>
    <xf numFmtId="0" fontId="0" fillId="0" borderId="0" xfId="0" quotePrefix="1"/>
    <xf numFmtId="0" fontId="0" fillId="0" borderId="0" xfId="0" applyAlignment="1">
      <alignment horizontal="left" indent="2"/>
    </xf>
    <xf numFmtId="9" fontId="0" fillId="0" borderId="0" xfId="2" applyFont="1"/>
    <xf numFmtId="164" fontId="0" fillId="0" borderId="0" xfId="1" applyNumberFormat="1" applyFont="1" applyFill="1"/>
    <xf numFmtId="0" fontId="0" fillId="3" borderId="1" xfId="0" applyFill="1" applyBorder="1" applyAlignment="1">
      <alignment horizontal="center" vertical="center"/>
    </xf>
    <xf numFmtId="0" fontId="0" fillId="0" borderId="0" xfId="0" applyAlignment="1">
      <alignment horizontal="center" vertical="center"/>
    </xf>
    <xf numFmtId="9" fontId="0" fillId="3" borderId="1" xfId="0" applyNumberFormat="1" applyFill="1" applyBorder="1" applyAlignment="1">
      <alignment horizontal="center" vertical="center"/>
    </xf>
    <xf numFmtId="9" fontId="0" fillId="3" borderId="1" xfId="2" applyFont="1" applyFill="1" applyBorder="1" applyAlignment="1">
      <alignment horizontal="center" vertical="center"/>
    </xf>
    <xf numFmtId="167" fontId="0" fillId="3" borderId="1" xfId="0" applyNumberFormat="1" applyFill="1" applyBorder="1" applyAlignment="1">
      <alignment horizontal="center" vertical="center"/>
    </xf>
    <xf numFmtId="167" fontId="0" fillId="3" borderId="1" xfId="2" applyNumberFormat="1" applyFont="1" applyFill="1" applyBorder="1" applyAlignment="1">
      <alignment horizontal="center" vertical="center"/>
    </xf>
    <xf numFmtId="0" fontId="0" fillId="0" borderId="0" xfId="0" applyFill="1" applyBorder="1" applyAlignment="1">
      <alignment horizontal="left" indent="1"/>
    </xf>
    <xf numFmtId="0" fontId="0" fillId="0" borderId="0" xfId="0" applyFill="1" applyBorder="1" applyAlignment="1">
      <alignment horizontal="left" indent="2"/>
    </xf>
    <xf numFmtId="164" fontId="6" fillId="0" borderId="0" xfId="1" applyNumberFormat="1" applyFont="1"/>
    <xf numFmtId="0" fontId="0" fillId="0" borderId="2" xfId="0" applyBorder="1"/>
    <xf numFmtId="166" fontId="0" fillId="0" borderId="2" xfId="0" applyNumberFormat="1" applyBorder="1"/>
    <xf numFmtId="164" fontId="0" fillId="0" borderId="0" xfId="1" applyNumberFormat="1" applyFont="1" applyFill="1" applyBorder="1"/>
    <xf numFmtId="0" fontId="0" fillId="0" borderId="0" xfId="0" applyFill="1" applyBorder="1"/>
    <xf numFmtId="164" fontId="7" fillId="0" borderId="0" xfId="0" applyNumberFormat="1" applyFont="1"/>
    <xf numFmtId="164" fontId="0" fillId="2" borderId="0" xfId="1" applyNumberFormat="1" applyFont="1" applyFill="1" applyBorder="1"/>
    <xf numFmtId="164" fontId="0" fillId="5" borderId="0" xfId="1" applyNumberFormat="1" applyFont="1" applyFill="1"/>
    <xf numFmtId="0" fontId="5" fillId="0" borderId="0" xfId="0" applyFont="1"/>
    <xf numFmtId="0" fontId="11" fillId="0" borderId="0" xfId="0" applyFont="1"/>
    <xf numFmtId="0" fontId="12" fillId="0" borderId="0" xfId="0" applyFont="1" applyAlignment="1">
      <alignment horizontal="center"/>
    </xf>
    <xf numFmtId="0" fontId="11" fillId="0" borderId="0" xfId="0" applyFont="1" applyAlignment="1">
      <alignment horizontal="left" indent="1"/>
    </xf>
    <xf numFmtId="164" fontId="13" fillId="0" borderId="0" xfId="1" applyNumberFormat="1" applyFont="1"/>
    <xf numFmtId="164" fontId="13" fillId="0" borderId="0" xfId="1" applyNumberFormat="1" applyFont="1" applyFill="1"/>
    <xf numFmtId="164" fontId="13" fillId="4" borderId="1" xfId="1" applyNumberFormat="1" applyFont="1" applyFill="1" applyBorder="1"/>
    <xf numFmtId="0" fontId="11" fillId="0" borderId="0" xfId="0" applyFont="1" applyAlignment="1">
      <alignment horizontal="left"/>
    </xf>
    <xf numFmtId="43" fontId="11" fillId="0" borderId="0" xfId="0" applyNumberFormat="1" applyFont="1"/>
    <xf numFmtId="165" fontId="11" fillId="0" borderId="0" xfId="0" applyNumberFormat="1" applyFont="1"/>
    <xf numFmtId="0" fontId="0" fillId="0" borderId="0" xfId="0" applyFont="1" applyAlignment="1">
      <alignment horizontal="left" indent="2"/>
    </xf>
    <xf numFmtId="0" fontId="14" fillId="0" borderId="0" xfId="0" applyFont="1" applyAlignment="1">
      <alignment horizontal="center"/>
    </xf>
    <xf numFmtId="0" fontId="0" fillId="0" borderId="0" xfId="0" applyAlignment="1">
      <alignment horizontal="left" indent="3"/>
    </xf>
    <xf numFmtId="169" fontId="0" fillId="3" borderId="1" xfId="3" applyNumberFormat="1" applyFont="1" applyFill="1" applyBorder="1" applyAlignment="1">
      <alignment horizontal="center" vertical="center"/>
    </xf>
    <xf numFmtId="0" fontId="1" fillId="0" borderId="0" xfId="5"/>
    <xf numFmtId="0" fontId="1" fillId="0" borderId="0" xfId="5" applyAlignment="1">
      <alignment horizontal="right"/>
    </xf>
    <xf numFmtId="0" fontId="1" fillId="0" borderId="0" xfId="5" applyBorder="1"/>
    <xf numFmtId="0" fontId="1" fillId="0" borderId="0" xfId="5" applyFont="1"/>
    <xf numFmtId="0" fontId="1" fillId="0" borderId="0" xfId="5" applyFont="1" applyAlignment="1">
      <alignment horizontal="right"/>
    </xf>
    <xf numFmtId="14" fontId="1" fillId="0" borderId="0" xfId="5" applyNumberFormat="1" applyFont="1" applyAlignment="1">
      <alignment horizontal="center"/>
    </xf>
    <xf numFmtId="0" fontId="1" fillId="0" borderId="3" xfId="5" applyFont="1" applyBorder="1" applyAlignment="1">
      <alignment horizontal="center"/>
    </xf>
    <xf numFmtId="169" fontId="0" fillId="0" borderId="0" xfId="6" applyNumberFormat="1" applyFont="1"/>
    <xf numFmtId="44" fontId="0" fillId="8" borderId="0" xfId="6" applyFont="1" applyFill="1"/>
    <xf numFmtId="44" fontId="0" fillId="0" borderId="0" xfId="6" applyFont="1"/>
    <xf numFmtId="0" fontId="5" fillId="0" borderId="0" xfId="5" applyFont="1" applyAlignment="1">
      <alignment horizontal="right"/>
    </xf>
    <xf numFmtId="0" fontId="16" fillId="0" borderId="0" xfId="5" applyFont="1" applyAlignment="1">
      <alignment horizontal="center"/>
    </xf>
    <xf numFmtId="0" fontId="5" fillId="0" borderId="0" xfId="5" applyFont="1" applyFill="1" applyAlignment="1">
      <alignment horizontal="center"/>
    </xf>
    <xf numFmtId="0" fontId="16" fillId="0" borderId="0" xfId="5" applyFont="1" applyAlignment="1">
      <alignment horizontal="left"/>
    </xf>
    <xf numFmtId="0" fontId="1" fillId="0" borderId="3" xfId="5" applyBorder="1" applyAlignment="1">
      <alignment horizontal="center"/>
    </xf>
    <xf numFmtId="0" fontId="5" fillId="0" borderId="3" xfId="5" applyFont="1" applyFill="1" applyBorder="1" applyAlignment="1">
      <alignment horizontal="center"/>
    </xf>
    <xf numFmtId="170" fontId="16" fillId="0" borderId="0" xfId="7" applyNumberFormat="1" applyFont="1" applyAlignment="1">
      <alignment horizontal="center"/>
    </xf>
    <xf numFmtId="170" fontId="1" fillId="0" borderId="0" xfId="7" applyNumberFormat="1" applyFont="1" applyAlignment="1">
      <alignment horizontal="center"/>
    </xf>
    <xf numFmtId="170" fontId="5" fillId="0" borderId="0" xfId="7" applyNumberFormat="1" applyFont="1" applyFill="1" applyAlignment="1">
      <alignment horizontal="center"/>
    </xf>
    <xf numFmtId="170" fontId="0" fillId="0" borderId="0" xfId="7" applyNumberFormat="1" applyFont="1" applyAlignment="1">
      <alignment horizontal="center"/>
    </xf>
    <xf numFmtId="170" fontId="1" fillId="0" borderId="0" xfId="5" applyNumberFormat="1"/>
    <xf numFmtId="10" fontId="5" fillId="8" borderId="0" xfId="8" applyNumberFormat="1" applyFont="1" applyFill="1" applyAlignment="1">
      <alignment horizontal="center"/>
    </xf>
    <xf numFmtId="10" fontId="0" fillId="0" borderId="0" xfId="8" applyNumberFormat="1" applyFont="1"/>
    <xf numFmtId="0" fontId="16" fillId="0" borderId="0" xfId="5" applyFont="1" applyFill="1" applyAlignment="1">
      <alignment horizontal="left"/>
    </xf>
    <xf numFmtId="0" fontId="1" fillId="0" borderId="0" xfId="5" applyFill="1"/>
    <xf numFmtId="0" fontId="1" fillId="0" borderId="3" xfId="5" applyFill="1" applyBorder="1" applyAlignment="1">
      <alignment horizontal="center"/>
    </xf>
    <xf numFmtId="170" fontId="0" fillId="0" borderId="0" xfId="7" applyNumberFormat="1" applyFont="1" applyFill="1" applyAlignment="1">
      <alignment horizontal="center"/>
    </xf>
    <xf numFmtId="0" fontId="1" fillId="0" borderId="0" xfId="5" quotePrefix="1"/>
    <xf numFmtId="0" fontId="5" fillId="0" borderId="0" xfId="5" quotePrefix="1" applyFont="1"/>
    <xf numFmtId="0" fontId="1" fillId="0" borderId="5" xfId="5" applyBorder="1" applyAlignment="1">
      <alignment horizontal="center"/>
    </xf>
    <xf numFmtId="0" fontId="5" fillId="0" borderId="6" xfId="5" applyFont="1" applyBorder="1" applyAlignment="1">
      <alignment horizontal="center"/>
    </xf>
    <xf numFmtId="0" fontId="1" fillId="0" borderId="7" xfId="5" applyBorder="1" applyAlignment="1">
      <alignment horizontal="center"/>
    </xf>
    <xf numFmtId="0" fontId="1" fillId="0" borderId="6" xfId="5" applyBorder="1" applyAlignment="1">
      <alignment horizontal="center"/>
    </xf>
    <xf numFmtId="0" fontId="1" fillId="0" borderId="8" xfId="5" applyBorder="1" applyAlignment="1">
      <alignment horizontal="center"/>
    </xf>
    <xf numFmtId="0" fontId="5" fillId="0" borderId="0" xfId="5" applyFont="1" applyBorder="1" applyAlignment="1">
      <alignment horizontal="center"/>
    </xf>
    <xf numFmtId="0" fontId="1" fillId="0" borderId="9" xfId="5" applyBorder="1" applyAlignment="1">
      <alignment horizontal="center"/>
    </xf>
    <xf numFmtId="0" fontId="1" fillId="0" borderId="0" xfId="5" applyBorder="1" applyAlignment="1">
      <alignment horizontal="center"/>
    </xf>
    <xf numFmtId="0" fontId="1" fillId="0" borderId="0" xfId="5" applyAlignment="1">
      <alignment horizontal="left"/>
    </xf>
    <xf numFmtId="0" fontId="1" fillId="0" borderId="0" xfId="5" applyAlignment="1">
      <alignment horizontal="center"/>
    </xf>
    <xf numFmtId="3" fontId="1" fillId="0" borderId="10" xfId="5" applyNumberFormat="1" applyBorder="1" applyAlignment="1">
      <alignment horizontal="center"/>
    </xf>
    <xf numFmtId="3" fontId="5" fillId="0" borderId="3" xfId="5" applyNumberFormat="1" applyFont="1" applyBorder="1" applyAlignment="1">
      <alignment horizontal="center"/>
    </xf>
    <xf numFmtId="167" fontId="0" fillId="0" borderId="11" xfId="8" applyNumberFormat="1" applyFont="1" applyBorder="1" applyAlignment="1">
      <alignment horizontal="center"/>
    </xf>
    <xf numFmtId="3" fontId="1" fillId="0" borderId="3" xfId="5" applyNumberFormat="1" applyBorder="1" applyAlignment="1">
      <alignment horizontal="center"/>
    </xf>
    <xf numFmtId="3" fontId="1" fillId="0" borderId="11" xfId="5" applyNumberFormat="1" applyBorder="1" applyAlignment="1">
      <alignment horizontal="center"/>
    </xf>
    <xf numFmtId="0" fontId="17" fillId="0" borderId="0" xfId="9"/>
    <xf numFmtId="0" fontId="1" fillId="0" borderId="0" xfId="5" applyFont="1" applyBorder="1"/>
    <xf numFmtId="0" fontId="20" fillId="0" borderId="0" xfId="10" applyFont="1" applyBorder="1" applyAlignment="1">
      <alignment horizontal="right" vertical="center" wrapText="1"/>
    </xf>
    <xf numFmtId="0" fontId="19" fillId="0" borderId="0" xfId="10" applyFont="1" applyBorder="1" applyAlignment="1">
      <alignment horizontal="left" wrapText="1"/>
    </xf>
    <xf numFmtId="0" fontId="20" fillId="0" borderId="0" xfId="10" applyFont="1" applyBorder="1" applyAlignment="1">
      <alignment wrapText="1"/>
    </xf>
    <xf numFmtId="0" fontId="20" fillId="0" borderId="0" xfId="10" applyFont="1" applyBorder="1" applyAlignment="1">
      <alignment horizontal="right" wrapText="1"/>
    </xf>
    <xf numFmtId="0" fontId="1" fillId="8" borderId="0" xfId="5" applyFill="1"/>
    <xf numFmtId="0" fontId="21" fillId="0" borderId="0" xfId="11"/>
    <xf numFmtId="9" fontId="0" fillId="0" borderId="0" xfId="12" applyFont="1"/>
    <xf numFmtId="0" fontId="22" fillId="0" borderId="0" xfId="11" applyFont="1"/>
    <xf numFmtId="0" fontId="21" fillId="0" borderId="0" xfId="11" applyFont="1"/>
    <xf numFmtId="10" fontId="21" fillId="0" borderId="0" xfId="11" applyNumberFormat="1"/>
    <xf numFmtId="0" fontId="23" fillId="0" borderId="0" xfId="11" applyFont="1"/>
    <xf numFmtId="0" fontId="24" fillId="0" borderId="0" xfId="11" applyFont="1"/>
    <xf numFmtId="9" fontId="21" fillId="0" borderId="0" xfId="11" applyNumberFormat="1"/>
    <xf numFmtId="42" fontId="21" fillId="0" borderId="0" xfId="11" applyNumberFormat="1"/>
    <xf numFmtId="172" fontId="21" fillId="0" borderId="0" xfId="11" applyNumberFormat="1"/>
    <xf numFmtId="0" fontId="23" fillId="0" borderId="0" xfId="11" applyNumberFormat="1" applyFont="1"/>
    <xf numFmtId="10" fontId="23" fillId="0" borderId="0" xfId="11" applyNumberFormat="1" applyFont="1"/>
    <xf numFmtId="0" fontId="21" fillId="0" borderId="0" xfId="11" applyNumberFormat="1" applyFont="1"/>
    <xf numFmtId="3" fontId="21" fillId="0" borderId="0" xfId="11" applyNumberFormat="1"/>
    <xf numFmtId="3" fontId="23" fillId="0" borderId="0" xfId="11" applyNumberFormat="1" applyFont="1"/>
    <xf numFmtId="43" fontId="0" fillId="0" borderId="0" xfId="0" applyNumberFormat="1"/>
    <xf numFmtId="170" fontId="0" fillId="55" borderId="0" xfId="1" applyNumberFormat="1" applyFont="1" applyFill="1"/>
    <xf numFmtId="10" fontId="5" fillId="0" borderId="0" xfId="0" applyNumberFormat="1" applyFont="1"/>
    <xf numFmtId="170" fontId="0" fillId="0" borderId="0" xfId="1" applyNumberFormat="1" applyFont="1"/>
    <xf numFmtId="10" fontId="0" fillId="0" borderId="0" xfId="0" applyNumberFormat="1"/>
    <xf numFmtId="0" fontId="0" fillId="0" borderId="0" xfId="0" applyFill="1"/>
    <xf numFmtId="0" fontId="5" fillId="0" borderId="0" xfId="0" applyFont="1" applyFill="1"/>
    <xf numFmtId="0" fontId="5" fillId="55" borderId="0" xfId="0" applyFont="1" applyFill="1"/>
    <xf numFmtId="170" fontId="0" fillId="0" borderId="29" xfId="1" applyNumberFormat="1" applyFont="1" applyBorder="1"/>
    <xf numFmtId="170" fontId="5" fillId="0" borderId="0" xfId="1" applyNumberFormat="1" applyFont="1"/>
    <xf numFmtId="10" fontId="0" fillId="0" borderId="0" xfId="2" applyNumberFormat="1" applyFont="1"/>
    <xf numFmtId="170" fontId="5" fillId="55" borderId="30" xfId="1" applyNumberFormat="1" applyFont="1" applyFill="1" applyBorder="1"/>
    <xf numFmtId="170" fontId="5" fillId="55" borderId="31" xfId="1" applyNumberFormat="1" applyFont="1" applyFill="1" applyBorder="1"/>
    <xf numFmtId="170" fontId="5" fillId="0" borderId="31" xfId="1" applyNumberFormat="1" applyFont="1" applyBorder="1"/>
    <xf numFmtId="0" fontId="5" fillId="0" borderId="32" xfId="0" applyFont="1" applyBorder="1"/>
    <xf numFmtId="170" fontId="0" fillId="55" borderId="33" xfId="1" applyNumberFormat="1" applyFont="1" applyFill="1" applyBorder="1"/>
    <xf numFmtId="170" fontId="0" fillId="55" borderId="0" xfId="1" applyNumberFormat="1" applyFont="1" applyFill="1" applyBorder="1"/>
    <xf numFmtId="170" fontId="0" fillId="0" borderId="0" xfId="1" applyNumberFormat="1" applyFont="1" applyBorder="1"/>
    <xf numFmtId="0" fontId="0" fillId="0" borderId="34" xfId="0" applyBorder="1"/>
    <xf numFmtId="0" fontId="19" fillId="0" borderId="0" xfId="0" applyFont="1"/>
    <xf numFmtId="170" fontId="19" fillId="55" borderId="33" xfId="1" applyNumberFormat="1" applyFont="1" applyFill="1" applyBorder="1"/>
    <xf numFmtId="170" fontId="19" fillId="55" borderId="0" xfId="1" applyNumberFormat="1" applyFont="1" applyFill="1" applyBorder="1"/>
    <xf numFmtId="170" fontId="19" fillId="0" borderId="0" xfId="1" applyNumberFormat="1" applyFont="1" applyBorder="1"/>
    <xf numFmtId="0" fontId="19" fillId="0" borderId="34" xfId="0" applyFont="1" applyBorder="1"/>
    <xf numFmtId="170" fontId="0" fillId="55" borderId="35" xfId="1" applyNumberFormat="1" applyFont="1" applyFill="1" applyBorder="1"/>
    <xf numFmtId="170" fontId="0" fillId="55" borderId="36" xfId="1" applyNumberFormat="1" applyFont="1" applyFill="1" applyBorder="1"/>
    <xf numFmtId="170" fontId="0" fillId="0" borderId="36" xfId="1" applyNumberFormat="1" applyFont="1" applyBorder="1"/>
    <xf numFmtId="170" fontId="0" fillId="55" borderId="37" xfId="1" applyNumberFormat="1" applyFont="1" applyFill="1" applyBorder="1"/>
    <xf numFmtId="170" fontId="0" fillId="55" borderId="3" xfId="1" applyNumberFormat="1" applyFont="1" applyFill="1" applyBorder="1"/>
    <xf numFmtId="170" fontId="0" fillId="0" borderId="3" xfId="1" applyNumberFormat="1" applyFont="1" applyBorder="1"/>
    <xf numFmtId="0" fontId="0" fillId="55" borderId="33" xfId="0" applyFill="1" applyBorder="1"/>
    <xf numFmtId="0" fontId="0" fillId="55" borderId="0" xfId="0" applyFill="1" applyBorder="1"/>
    <xf numFmtId="0" fontId="0" fillId="0" borderId="0" xfId="0" applyBorder="1"/>
    <xf numFmtId="0" fontId="5" fillId="55" borderId="33" xfId="0" applyFont="1" applyFill="1" applyBorder="1"/>
    <xf numFmtId="0" fontId="5" fillId="55" borderId="0" xfId="0" applyFont="1" applyFill="1" applyBorder="1"/>
    <xf numFmtId="0" fontId="5" fillId="0" borderId="0" xfId="0" applyFont="1" applyBorder="1"/>
    <xf numFmtId="0" fontId="5" fillId="0" borderId="34" xfId="0" applyFont="1" applyBorder="1" applyAlignment="1">
      <alignment horizontal="right"/>
    </xf>
    <xf numFmtId="0" fontId="0" fillId="0" borderId="33" xfId="0" applyBorder="1"/>
    <xf numFmtId="0" fontId="5" fillId="0" borderId="34" xfId="0" applyFont="1" applyBorder="1"/>
    <xf numFmtId="0" fontId="0" fillId="0" borderId="38" xfId="0" applyBorder="1"/>
    <xf numFmtId="0" fontId="0" fillId="0" borderId="39" xfId="0" applyBorder="1"/>
    <xf numFmtId="0" fontId="10" fillId="0" borderId="40" xfId="0" applyFont="1" applyBorder="1"/>
    <xf numFmtId="0" fontId="5" fillId="0" borderId="3" xfId="0" applyFont="1" applyBorder="1" applyAlignment="1">
      <alignment horizontal="right"/>
    </xf>
    <xf numFmtId="167" fontId="0" fillId="0" borderId="0" xfId="2" applyNumberFormat="1" applyFont="1"/>
    <xf numFmtId="164" fontId="11" fillId="56" borderId="0" xfId="1" applyNumberFormat="1" applyFont="1" applyFill="1"/>
    <xf numFmtId="0" fontId="0" fillId="0" borderId="0" xfId="0" applyFont="1" applyAlignment="1">
      <alignment horizontal="left" indent="3"/>
    </xf>
    <xf numFmtId="44" fontId="0" fillId="3" borderId="1" xfId="3" applyFont="1" applyFill="1" applyBorder="1" applyAlignment="1">
      <alignment horizontal="center" vertical="center"/>
    </xf>
    <xf numFmtId="164" fontId="88" fillId="2" borderId="0" xfId="1" applyNumberFormat="1" applyFont="1" applyFill="1"/>
    <xf numFmtId="0" fontId="21" fillId="0" borderId="0" xfId="3089"/>
    <xf numFmtId="0" fontId="21" fillId="0" borderId="0" xfId="3089" applyBorder="1"/>
    <xf numFmtId="0" fontId="21" fillId="0" borderId="0" xfId="3089" applyFont="1" applyAlignment="1">
      <alignment horizontal="left"/>
    </xf>
    <xf numFmtId="0" fontId="21" fillId="0" borderId="0" xfId="3089" applyFont="1" applyAlignment="1">
      <alignment horizontal="left" wrapText="1"/>
    </xf>
    <xf numFmtId="0" fontId="21" fillId="0" borderId="0" xfId="3089" applyFont="1" applyAlignment="1">
      <alignment wrapText="1"/>
    </xf>
    <xf numFmtId="0" fontId="21" fillId="0" borderId="0" xfId="3089" applyFont="1"/>
    <xf numFmtId="0" fontId="22" fillId="0" borderId="0" xfId="3089" applyFont="1"/>
    <xf numFmtId="1" fontId="21" fillId="0" borderId="0" xfId="3089" applyNumberFormat="1"/>
    <xf numFmtId="184" fontId="90" fillId="57" borderId="31" xfId="3089" applyNumberFormat="1" applyFont="1" applyFill="1" applyBorder="1"/>
    <xf numFmtId="184" fontId="90" fillId="57" borderId="42" xfId="3089" applyNumberFormat="1" applyFont="1" applyFill="1" applyBorder="1"/>
    <xf numFmtId="49" fontId="90" fillId="57" borderId="31" xfId="3089" applyNumberFormat="1" applyFont="1" applyFill="1" applyBorder="1" applyAlignment="1">
      <alignment horizontal="right"/>
    </xf>
    <xf numFmtId="184" fontId="90" fillId="57" borderId="43" xfId="3089" applyNumberFormat="1" applyFont="1" applyFill="1" applyBorder="1"/>
    <xf numFmtId="0" fontId="91" fillId="57" borderId="42" xfId="3089" applyFont="1" applyFill="1" applyBorder="1"/>
    <xf numFmtId="1" fontId="21" fillId="0" borderId="0" xfId="3089" applyNumberFormat="1" applyFont="1" applyBorder="1"/>
    <xf numFmtId="1" fontId="21" fillId="0" borderId="44" xfId="3089" applyNumberFormat="1" applyFont="1" applyBorder="1"/>
    <xf numFmtId="1" fontId="21" fillId="0" borderId="3" xfId="3089" applyNumberFormat="1" applyFont="1" applyBorder="1"/>
    <xf numFmtId="1" fontId="21" fillId="0" borderId="3" xfId="3089" applyNumberFormat="1" applyFont="1" applyBorder="1" applyAlignment="1">
      <alignment horizontal="right"/>
    </xf>
    <xf numFmtId="1" fontId="21" fillId="0" borderId="10" xfId="3089" applyNumberFormat="1" applyFont="1" applyBorder="1"/>
    <xf numFmtId="0" fontId="21" fillId="0" borderId="0" xfId="3089" applyFont="1" applyBorder="1"/>
    <xf numFmtId="0" fontId="21" fillId="0" borderId="10" xfId="3089" applyBorder="1"/>
    <xf numFmtId="1" fontId="21" fillId="0" borderId="14" xfId="3089" applyNumberFormat="1" applyFont="1" applyBorder="1"/>
    <xf numFmtId="1" fontId="21" fillId="0" borderId="0" xfId="3089" applyNumberFormat="1" applyFont="1" applyBorder="1" applyAlignment="1">
      <alignment horizontal="right"/>
    </xf>
    <xf numFmtId="1" fontId="21" fillId="0" borderId="46" xfId="3089" applyNumberFormat="1" applyFont="1" applyBorder="1"/>
    <xf numFmtId="0" fontId="21" fillId="0" borderId="8" xfId="3089" applyBorder="1"/>
    <xf numFmtId="1" fontId="92" fillId="57" borderId="29" xfId="3089" applyNumberFormat="1" applyFont="1" applyFill="1" applyBorder="1"/>
    <xf numFmtId="1" fontId="92" fillId="57" borderId="48" xfId="3089" applyNumberFormat="1" applyFont="1" applyFill="1" applyBorder="1"/>
    <xf numFmtId="49" fontId="92" fillId="57" borderId="49" xfId="3089" applyNumberFormat="1" applyFont="1" applyFill="1" applyBorder="1" applyAlignment="1">
      <alignment horizontal="right"/>
    </xf>
    <xf numFmtId="0" fontId="92" fillId="57" borderId="29" xfId="3089" applyFont="1" applyFill="1" applyBorder="1"/>
    <xf numFmtId="0" fontId="92" fillId="57" borderId="49" xfId="3089" applyFont="1" applyFill="1" applyBorder="1"/>
    <xf numFmtId="1" fontId="21" fillId="0" borderId="0" xfId="3089" applyNumberFormat="1" applyFont="1" applyBorder="1" applyAlignment="1">
      <alignment horizontal="left" wrapText="1"/>
    </xf>
    <xf numFmtId="0" fontId="21" fillId="0" borderId="8" xfId="3089" applyFont="1" applyBorder="1" applyAlignment="1">
      <alignment horizontal="left" wrapText="1"/>
    </xf>
    <xf numFmtId="0" fontId="21" fillId="0" borderId="0" xfId="3089" applyFont="1" applyBorder="1" applyAlignment="1">
      <alignment horizontal="left" wrapText="1"/>
    </xf>
    <xf numFmtId="1" fontId="93" fillId="0" borderId="50" xfId="3089" applyNumberFormat="1" applyFont="1" applyBorder="1"/>
    <xf numFmtId="1" fontId="93" fillId="0" borderId="36" xfId="3089" applyNumberFormat="1" applyFont="1" applyBorder="1"/>
    <xf numFmtId="1" fontId="93" fillId="0" borderId="4" xfId="3089" applyNumberFormat="1" applyFont="1" applyBorder="1"/>
    <xf numFmtId="1" fontId="93" fillId="0" borderId="25" xfId="3089" applyNumberFormat="1" applyFont="1" applyBorder="1"/>
    <xf numFmtId="0" fontId="93" fillId="0" borderId="36" xfId="3089" applyFont="1" applyBorder="1" applyAlignment="1">
      <alignment horizontal="left" wrapText="1"/>
    </xf>
    <xf numFmtId="0" fontId="21" fillId="0" borderId="9" xfId="3089" applyFont="1" applyFill="1" applyBorder="1" applyAlignment="1">
      <alignment horizontal="right"/>
    </xf>
    <xf numFmtId="1" fontId="21" fillId="0" borderId="0" xfId="3089" applyNumberFormat="1" applyFill="1" applyBorder="1" applyAlignment="1">
      <alignment horizontal="right"/>
    </xf>
    <xf numFmtId="1" fontId="21" fillId="0" borderId="0" xfId="3089" applyNumberFormat="1" applyBorder="1"/>
    <xf numFmtId="1" fontId="21" fillId="0" borderId="0" xfId="3089" applyNumberFormat="1" applyBorder="1" applyAlignment="1">
      <alignment horizontal="right"/>
    </xf>
    <xf numFmtId="0" fontId="21" fillId="0" borderId="8" xfId="3089" applyFont="1" applyBorder="1" applyAlignment="1">
      <alignment horizontal="right"/>
    </xf>
    <xf numFmtId="0" fontId="21" fillId="0" borderId="3" xfId="3089" applyFont="1" applyBorder="1"/>
    <xf numFmtId="1" fontId="21" fillId="0" borderId="14" xfId="3089" applyNumberFormat="1" applyFont="1" applyFill="1" applyBorder="1"/>
    <xf numFmtId="0" fontId="94" fillId="0" borderId="9" xfId="3089" applyFont="1" applyFill="1" applyBorder="1" applyAlignment="1">
      <alignment horizontal="right"/>
    </xf>
    <xf numFmtId="0" fontId="94" fillId="0" borderId="8" xfId="3089" applyFont="1" applyBorder="1" applyAlignment="1">
      <alignment horizontal="right"/>
    </xf>
    <xf numFmtId="0" fontId="94" fillId="0" borderId="0" xfId="3089" applyFont="1" applyBorder="1" applyAlignment="1">
      <alignment wrapText="1"/>
    </xf>
    <xf numFmtId="0" fontId="95" fillId="0" borderId="9" xfId="3089" applyFont="1" applyBorder="1"/>
    <xf numFmtId="0" fontId="95" fillId="0" borderId="0" xfId="3089" applyFont="1" applyBorder="1"/>
    <xf numFmtId="0" fontId="95" fillId="0" borderId="8" xfId="3089" applyFont="1" applyBorder="1"/>
    <xf numFmtId="0" fontId="21" fillId="0" borderId="9" xfId="3089" applyFont="1" applyBorder="1"/>
    <xf numFmtId="0" fontId="21" fillId="0" borderId="8" xfId="3089" applyFont="1" applyBorder="1"/>
    <xf numFmtId="0" fontId="93" fillId="0" borderId="36" xfId="3089" applyFont="1" applyBorder="1"/>
    <xf numFmtId="1" fontId="21" fillId="0" borderId="0" xfId="3089" applyNumberFormat="1" applyFont="1" applyFill="1" applyAlignment="1">
      <alignment horizontal="right"/>
    </xf>
    <xf numFmtId="1" fontId="21" fillId="0" borderId="0" xfId="3089" applyNumberFormat="1" applyFont="1"/>
    <xf numFmtId="1" fontId="21" fillId="0" borderId="0" xfId="3089" applyNumberFormat="1" applyFont="1" applyAlignment="1">
      <alignment horizontal="right"/>
    </xf>
    <xf numFmtId="0" fontId="94" fillId="57" borderId="0" xfId="3089" applyFont="1" applyFill="1" applyBorder="1" applyAlignment="1">
      <alignment horizontal="right"/>
    </xf>
    <xf numFmtId="0" fontId="94" fillId="57" borderId="0" xfId="3089" applyFont="1" applyFill="1" applyBorder="1"/>
    <xf numFmtId="0" fontId="94" fillId="57" borderId="8" xfId="3089" applyFont="1" applyFill="1" applyBorder="1" applyAlignment="1">
      <alignment horizontal="right"/>
    </xf>
    <xf numFmtId="1" fontId="21" fillId="57" borderId="14" xfId="3089" applyNumberFormat="1" applyFont="1" applyFill="1" applyBorder="1"/>
    <xf numFmtId="1" fontId="94" fillId="0" borderId="8" xfId="3089" applyNumberFormat="1" applyFont="1" applyBorder="1" applyAlignment="1">
      <alignment horizontal="right"/>
    </xf>
    <xf numFmtId="1" fontId="21" fillId="0" borderId="8" xfId="3089" applyNumberFormat="1" applyFont="1" applyBorder="1" applyAlignment="1">
      <alignment horizontal="right"/>
    </xf>
    <xf numFmtId="0" fontId="21" fillId="0" borderId="7" xfId="3089" applyFont="1" applyBorder="1"/>
    <xf numFmtId="0" fontId="21" fillId="0" borderId="6" xfId="3089" applyFont="1" applyBorder="1"/>
    <xf numFmtId="0" fontId="21" fillId="0" borderId="51" xfId="3089" applyFont="1" applyBorder="1"/>
    <xf numFmtId="0" fontId="95" fillId="0" borderId="7" xfId="3089" applyFont="1" applyBorder="1"/>
    <xf numFmtId="0" fontId="95" fillId="0" borderId="6" xfId="3089" applyFont="1" applyBorder="1"/>
    <xf numFmtId="0" fontId="95" fillId="0" borderId="5" xfId="3089" applyFont="1" applyBorder="1"/>
    <xf numFmtId="0" fontId="21" fillId="0" borderId="5" xfId="3089" applyBorder="1"/>
    <xf numFmtId="0" fontId="21" fillId="58" borderId="7" xfId="3089" applyFont="1" applyFill="1" applyBorder="1"/>
    <xf numFmtId="0" fontId="21" fillId="58" borderId="6" xfId="3089" applyFont="1" applyFill="1" applyBorder="1"/>
    <xf numFmtId="0" fontId="21" fillId="58" borderId="51" xfId="3089" applyFont="1" applyFill="1" applyBorder="1"/>
    <xf numFmtId="0" fontId="21" fillId="58" borderId="5" xfId="3089" applyFont="1" applyFill="1" applyBorder="1"/>
    <xf numFmtId="0" fontId="91" fillId="58" borderId="5" xfId="3089" applyFont="1" applyFill="1" applyBorder="1"/>
    <xf numFmtId="0" fontId="21" fillId="0" borderId="14" xfId="3089" applyBorder="1"/>
    <xf numFmtId="0" fontId="21" fillId="0" borderId="45" xfId="3089" applyBorder="1"/>
    <xf numFmtId="0" fontId="92" fillId="57" borderId="47" xfId="3089" applyFont="1" applyFill="1" applyBorder="1"/>
    <xf numFmtId="0" fontId="93" fillId="0" borderId="50" xfId="3089" applyFont="1" applyBorder="1"/>
    <xf numFmtId="0" fontId="93" fillId="0" borderId="36" xfId="3089" applyFont="1" applyBorder="1" applyAlignment="1">
      <alignment horizontal="right"/>
    </xf>
    <xf numFmtId="0" fontId="93" fillId="0" borderId="25" xfId="3089" applyFont="1" applyBorder="1"/>
    <xf numFmtId="1" fontId="21" fillId="0" borderId="14" xfId="3089" applyNumberFormat="1" applyFont="1" applyBorder="1" applyAlignment="1">
      <alignment horizontal="right"/>
    </xf>
    <xf numFmtId="0" fontId="21" fillId="0" borderId="0" xfId="3089" applyFont="1" applyFill="1" applyBorder="1"/>
    <xf numFmtId="0" fontId="21" fillId="0" borderId="0" xfId="3089" applyFont="1" applyFill="1" applyBorder="1" applyAlignment="1">
      <alignment horizontal="right"/>
    </xf>
    <xf numFmtId="1" fontId="21" fillId="0" borderId="14" xfId="3089" applyNumberFormat="1" applyFont="1" applyFill="1" applyBorder="1" applyAlignment="1">
      <alignment horizontal="right"/>
    </xf>
    <xf numFmtId="0" fontId="94" fillId="0" borderId="9" xfId="3089" applyFont="1" applyBorder="1"/>
    <xf numFmtId="0" fontId="94" fillId="0" borderId="0" xfId="3089" applyFont="1" applyBorder="1"/>
    <xf numFmtId="0" fontId="94" fillId="0" borderId="0" xfId="3089" applyFont="1" applyBorder="1" applyAlignment="1">
      <alignment horizontal="right"/>
    </xf>
    <xf numFmtId="0" fontId="94" fillId="0" borderId="0" xfId="3089" applyFont="1" applyFill="1" applyBorder="1" applyAlignment="1">
      <alignment horizontal="right"/>
    </xf>
    <xf numFmtId="0" fontId="94" fillId="0" borderId="8" xfId="3089" applyFont="1" applyBorder="1"/>
    <xf numFmtId="0" fontId="21" fillId="0" borderId="0" xfId="3089" applyFont="1" applyBorder="1" applyAlignment="1">
      <alignment wrapText="1"/>
    </xf>
    <xf numFmtId="0" fontId="21" fillId="0" borderId="0" xfId="3089" applyFont="1" applyBorder="1" applyAlignment="1">
      <alignment horizontal="right"/>
    </xf>
    <xf numFmtId="0" fontId="21" fillId="0" borderId="9" xfId="3089" applyFill="1" applyBorder="1" applyAlignment="1">
      <alignment horizontal="right" wrapText="1"/>
    </xf>
    <xf numFmtId="0" fontId="21" fillId="0" borderId="0" xfId="3089" applyBorder="1" applyAlignment="1">
      <alignment wrapText="1"/>
    </xf>
    <xf numFmtId="0" fontId="21" fillId="0" borderId="0" xfId="3089" applyBorder="1" applyAlignment="1">
      <alignment horizontal="right" wrapText="1"/>
    </xf>
    <xf numFmtId="0" fontId="21" fillId="0" borderId="0" xfId="3089" applyFont="1" applyBorder="1" applyAlignment="1">
      <alignment horizontal="right" wrapText="1"/>
    </xf>
    <xf numFmtId="0" fontId="21" fillId="0" borderId="8" xfId="3089" applyBorder="1" applyAlignment="1">
      <alignment wrapText="1"/>
    </xf>
    <xf numFmtId="0" fontId="22" fillId="58" borderId="7" xfId="3089" applyFont="1" applyFill="1" applyBorder="1" applyAlignment="1">
      <alignment horizontal="center" vertical="top"/>
    </xf>
    <xf numFmtId="0" fontId="22" fillId="58" borderId="6" xfId="3089" applyFont="1" applyFill="1" applyBorder="1" applyAlignment="1">
      <alignment horizontal="center" vertical="top"/>
    </xf>
    <xf numFmtId="0" fontId="22" fillId="58" borderId="51" xfId="3089" applyFont="1" applyFill="1" applyBorder="1" applyAlignment="1">
      <alignment horizontal="center" vertical="top"/>
    </xf>
    <xf numFmtId="0" fontId="22" fillId="58" borderId="5" xfId="3089" applyFont="1" applyFill="1" applyBorder="1" applyAlignment="1">
      <alignment horizontal="center" vertical="top"/>
    </xf>
    <xf numFmtId="0" fontId="91" fillId="58" borderId="8" xfId="3089" applyFont="1" applyFill="1" applyBorder="1"/>
    <xf numFmtId="0" fontId="92" fillId="57" borderId="7" xfId="3089" applyFont="1" applyFill="1" applyBorder="1" applyAlignment="1">
      <alignment horizontal="center" vertical="top"/>
    </xf>
    <xf numFmtId="0" fontId="92" fillId="57" borderId="6" xfId="3089" applyFont="1" applyFill="1" applyBorder="1" applyAlignment="1">
      <alignment horizontal="center" vertical="top"/>
    </xf>
    <xf numFmtId="0" fontId="92" fillId="57" borderId="51" xfId="3089" applyFont="1" applyFill="1" applyBorder="1" applyAlignment="1">
      <alignment horizontal="center" vertical="top" wrapText="1"/>
    </xf>
    <xf numFmtId="0" fontId="92" fillId="57" borderId="5" xfId="3089" applyFont="1" applyFill="1" applyBorder="1" applyAlignment="1">
      <alignment horizontal="center" vertical="top"/>
    </xf>
    <xf numFmtId="0" fontId="21" fillId="57" borderId="36" xfId="3089" applyFill="1" applyBorder="1"/>
    <xf numFmtId="0" fontId="21" fillId="57" borderId="25" xfId="3089" applyFont="1" applyFill="1" applyBorder="1"/>
    <xf numFmtId="0" fontId="90" fillId="0" borderId="0" xfId="3089" applyFont="1" applyAlignment="1">
      <alignment horizontal="center" vertical="center"/>
    </xf>
    <xf numFmtId="0" fontId="90" fillId="57" borderId="4" xfId="3089" applyFont="1" applyFill="1" applyBorder="1" applyAlignment="1">
      <alignment horizontal="center" vertical="center" wrapText="1"/>
    </xf>
    <xf numFmtId="0" fontId="97" fillId="0" borderId="0" xfId="3089" applyFont="1"/>
    <xf numFmtId="164" fontId="0" fillId="2" borderId="0" xfId="1" applyNumberFormat="1" applyFont="1" applyFill="1" applyAlignment="1">
      <alignment horizontal="center"/>
    </xf>
    <xf numFmtId="0" fontId="0" fillId="0" borderId="0" xfId="0" applyFill="1" applyBorder="1" applyAlignment="1">
      <alignment horizontal="left"/>
    </xf>
    <xf numFmtId="169" fontId="0" fillId="0" borderId="0" xfId="0" applyNumberFormat="1"/>
    <xf numFmtId="3" fontId="0" fillId="0" borderId="0" xfId="0" applyNumberFormat="1"/>
    <xf numFmtId="169" fontId="0" fillId="0" borderId="0" xfId="3" applyNumberFormat="1" applyFont="1"/>
    <xf numFmtId="0" fontId="0" fillId="0" borderId="0" xfId="0" applyFill="1" applyBorder="1" applyAlignment="1">
      <alignment horizontal="left" wrapText="1" indent="2"/>
    </xf>
    <xf numFmtId="44" fontId="0" fillId="0" borderId="0" xfId="0" applyNumberFormat="1"/>
    <xf numFmtId="1" fontId="0" fillId="0" borderId="0" xfId="0" applyNumberFormat="1"/>
    <xf numFmtId="164" fontId="42" fillId="0" borderId="0" xfId="870" applyNumberFormat="1" applyFont="1"/>
    <xf numFmtId="164" fontId="99" fillId="0" borderId="0" xfId="1" applyNumberFormat="1" applyFont="1" applyFill="1"/>
    <xf numFmtId="164" fontId="1" fillId="2" borderId="0" xfId="1" applyNumberFormat="1" applyFont="1" applyFill="1"/>
    <xf numFmtId="0" fontId="42" fillId="0" borderId="0" xfId="11" applyFont="1"/>
    <xf numFmtId="0" fontId="42" fillId="0" borderId="0" xfId="11" applyFont="1" applyAlignment="1">
      <alignment horizontal="right"/>
    </xf>
    <xf numFmtId="0" fontId="42" fillId="0" borderId="0" xfId="11" applyFont="1" applyAlignment="1">
      <alignment horizontal="center"/>
    </xf>
    <xf numFmtId="0" fontId="42" fillId="0" borderId="0" xfId="11" applyFont="1" applyAlignment="1">
      <alignment horizontal="center" wrapText="1"/>
    </xf>
    <xf numFmtId="164" fontId="42" fillId="0" borderId="0" xfId="870" applyNumberFormat="1" applyFont="1" applyAlignment="1">
      <alignment horizontal="center" wrapText="1"/>
    </xf>
    <xf numFmtId="164" fontId="42" fillId="0" borderId="0" xfId="870" applyNumberFormat="1" applyFont="1" applyAlignment="1">
      <alignment horizontal="centerContinuous"/>
    </xf>
    <xf numFmtId="0" fontId="100" fillId="0" borderId="0" xfId="11" applyFont="1" applyAlignment="1">
      <alignment horizontal="centerContinuous"/>
    </xf>
    <xf numFmtId="0" fontId="42" fillId="0" borderId="0" xfId="11" applyFont="1" applyAlignment="1">
      <alignment horizontal="centerContinuous"/>
    </xf>
    <xf numFmtId="49" fontId="100" fillId="0" borderId="0" xfId="11" applyNumberFormat="1" applyFont="1" applyAlignment="1">
      <alignment horizontal="centerContinuous"/>
    </xf>
    <xf numFmtId="4" fontId="42" fillId="0" borderId="0" xfId="18003" applyFont="1"/>
    <xf numFmtId="0" fontId="101" fillId="0" borderId="0" xfId="11" applyFont="1"/>
    <xf numFmtId="164" fontId="102" fillId="0" borderId="0" xfId="870" applyNumberFormat="1" applyFont="1"/>
    <xf numFmtId="164" fontId="102" fillId="9" borderId="0" xfId="870" applyNumberFormat="1" applyFont="1" applyFill="1"/>
    <xf numFmtId="0" fontId="102" fillId="0" borderId="0" xfId="11" applyFont="1"/>
    <xf numFmtId="0" fontId="101" fillId="0" borderId="0" xfId="11" applyFont="1" applyAlignment="1"/>
    <xf numFmtId="164" fontId="103" fillId="0" borderId="0" xfId="870" applyNumberFormat="1" applyFont="1"/>
    <xf numFmtId="164" fontId="42" fillId="0" borderId="0" xfId="11" applyNumberFormat="1" applyFont="1"/>
    <xf numFmtId="185" fontId="42" fillId="0" borderId="0" xfId="870" applyNumberFormat="1" applyFont="1"/>
    <xf numFmtId="185" fontId="42" fillId="0" borderId="0" xfId="870" applyNumberFormat="1" applyFont="1" applyAlignment="1">
      <alignment horizontal="left"/>
    </xf>
    <xf numFmtId="164" fontId="42" fillId="6" borderId="0" xfId="870" applyNumberFormat="1" applyFont="1" applyFill="1"/>
    <xf numFmtId="185" fontId="42" fillId="9" borderId="0" xfId="870" applyNumberFormat="1" applyFont="1" applyFill="1"/>
    <xf numFmtId="164" fontId="42" fillId="9" borderId="0" xfId="870" applyNumberFormat="1" applyFont="1" applyFill="1"/>
    <xf numFmtId="164" fontId="42" fillId="7" borderId="0" xfId="870" applyNumberFormat="1" applyFont="1" applyFill="1"/>
    <xf numFmtId="164" fontId="42" fillId="59" borderId="0" xfId="870" applyNumberFormat="1" applyFont="1" applyFill="1"/>
    <xf numFmtId="166" fontId="42" fillId="59" borderId="0" xfId="870" applyNumberFormat="1" applyFont="1" applyFill="1"/>
    <xf numFmtId="164" fontId="42" fillId="0" borderId="0" xfId="870" applyNumberFormat="1" applyFont="1" applyAlignment="1">
      <alignment horizontal="left"/>
    </xf>
    <xf numFmtId="164" fontId="42" fillId="9" borderId="0" xfId="870" applyNumberFormat="1" applyFont="1" applyFill="1" applyAlignment="1">
      <alignment horizontal="center" wrapText="1"/>
    </xf>
    <xf numFmtId="164" fontId="42" fillId="0" borderId="0" xfId="870" applyNumberFormat="1" applyFont="1" applyFill="1"/>
    <xf numFmtId="164" fontId="42" fillId="0" borderId="0" xfId="870" applyNumberFormat="1" applyFont="1" applyAlignment="1">
      <alignment horizontal="right"/>
    </xf>
    <xf numFmtId="185" fontId="42" fillId="0" borderId="0" xfId="870" applyNumberFormat="1" applyFont="1" applyAlignment="1">
      <alignment horizontal="right"/>
    </xf>
    <xf numFmtId="164" fontId="7" fillId="2" borderId="0" xfId="1" applyNumberFormat="1" applyFont="1" applyFill="1"/>
    <xf numFmtId="164" fontId="7" fillId="0" borderId="0" xfId="1" applyNumberFormat="1" applyFont="1" applyFill="1"/>
    <xf numFmtId="164" fontId="7" fillId="0" borderId="0" xfId="1" applyNumberFormat="1" applyFont="1" applyFill="1" applyBorder="1"/>
    <xf numFmtId="0" fontId="5" fillId="0" borderId="0" xfId="0" applyFont="1" applyFill="1" applyBorder="1" applyAlignment="1">
      <alignment horizontal="left"/>
    </xf>
    <xf numFmtId="164" fontId="5" fillId="2" borderId="0" xfId="1" applyNumberFormat="1" applyFont="1" applyFill="1"/>
    <xf numFmtId="2" fontId="0" fillId="0" borderId="0" xfId="0" applyNumberFormat="1"/>
    <xf numFmtId="0" fontId="0" fillId="0" borderId="0" xfId="0" applyAlignment="1">
      <alignment horizontal="right"/>
    </xf>
    <xf numFmtId="0" fontId="0" fillId="3" borderId="1" xfId="0" applyNumberFormat="1" applyFill="1" applyBorder="1" applyAlignment="1">
      <alignment horizontal="center" vertical="center"/>
    </xf>
    <xf numFmtId="165" fontId="0" fillId="0" borderId="0" xfId="0" applyNumberFormat="1"/>
    <xf numFmtId="0" fontId="0" fillId="0" borderId="0" xfId="0" applyAlignment="1">
      <alignment horizontal="left"/>
    </xf>
    <xf numFmtId="164" fontId="0" fillId="0" borderId="0" xfId="1" applyNumberFormat="1" applyFont="1" applyAlignment="1">
      <alignment horizontal="right"/>
    </xf>
    <xf numFmtId="164" fontId="88" fillId="2" borderId="0" xfId="1" applyNumberFormat="1" applyFont="1" applyFill="1" applyBorder="1"/>
    <xf numFmtId="0" fontId="0" fillId="0" borderId="0" xfId="0" applyBorder="1" applyAlignment="1">
      <alignment horizontal="left" indent="3"/>
    </xf>
    <xf numFmtId="0" fontId="0" fillId="0" borderId="54" xfId="0" applyBorder="1" applyAlignment="1">
      <alignment horizontal="left" indent="1"/>
    </xf>
    <xf numFmtId="0" fontId="0" fillId="0" borderId="55" xfId="0" applyBorder="1"/>
    <xf numFmtId="0" fontId="0" fillId="0" borderId="56" xfId="0" applyBorder="1" applyAlignment="1">
      <alignment horizontal="left" indent="1"/>
    </xf>
    <xf numFmtId="0" fontId="0" fillId="0" borderId="57" xfId="0" applyBorder="1"/>
    <xf numFmtId="0" fontId="0" fillId="0" borderId="59" xfId="0" applyBorder="1"/>
    <xf numFmtId="0" fontId="0" fillId="0" borderId="60" xfId="0" applyBorder="1" applyAlignment="1">
      <alignment horizontal="left" indent="1"/>
    </xf>
    <xf numFmtId="0" fontId="0" fillId="0" borderId="61" xfId="0" applyBorder="1"/>
    <xf numFmtId="0" fontId="0" fillId="0" borderId="60" xfId="0" applyFill="1" applyBorder="1" applyAlignment="1">
      <alignment horizontal="left" indent="1"/>
    </xf>
    <xf numFmtId="0" fontId="0" fillId="0" borderId="60" xfId="0" applyFill="1" applyBorder="1" applyAlignment="1">
      <alignment horizontal="left" indent="2"/>
    </xf>
    <xf numFmtId="0" fontId="0" fillId="0" borderId="60" xfId="0" applyFill="1" applyBorder="1" applyAlignment="1">
      <alignment horizontal="left" wrapText="1" indent="3"/>
    </xf>
    <xf numFmtId="0" fontId="0" fillId="0" borderId="60" xfId="0" applyFill="1" applyBorder="1" applyAlignment="1">
      <alignment horizontal="left" indent="3"/>
    </xf>
    <xf numFmtId="0" fontId="0" fillId="0" borderId="56" xfId="0" applyFill="1" applyBorder="1" applyAlignment="1">
      <alignment horizontal="left" indent="3"/>
    </xf>
    <xf numFmtId="0" fontId="0" fillId="0" borderId="58" xfId="0" applyFill="1" applyBorder="1" applyAlignment="1">
      <alignment horizontal="left" indent="1"/>
    </xf>
    <xf numFmtId="0" fontId="0" fillId="60" borderId="60" xfId="0" applyFill="1" applyBorder="1" applyAlignment="1">
      <alignment horizontal="left" indent="2"/>
    </xf>
    <xf numFmtId="0" fontId="0" fillId="60" borderId="61" xfId="0" applyFill="1" applyBorder="1"/>
    <xf numFmtId="0" fontId="0" fillId="60" borderId="60" xfId="0" applyFill="1" applyBorder="1" applyAlignment="1">
      <alignment horizontal="left" indent="1"/>
    </xf>
    <xf numFmtId="0" fontId="14" fillId="60" borderId="61" xfId="0" applyFont="1" applyFill="1" applyBorder="1" applyAlignment="1">
      <alignment horizontal="center"/>
    </xf>
    <xf numFmtId="0" fontId="0" fillId="0" borderId="0" xfId="0" applyAlignment="1">
      <alignment wrapText="1"/>
    </xf>
    <xf numFmtId="0" fontId="106" fillId="0" borderId="0" xfId="285" applyFont="1"/>
    <xf numFmtId="0" fontId="106" fillId="0" borderId="0" xfId="285" quotePrefix="1" applyFont="1" applyAlignment="1">
      <alignment horizontal="left"/>
    </xf>
    <xf numFmtId="171" fontId="21" fillId="0" borderId="0" xfId="285" applyNumberFormat="1" applyFont="1"/>
    <xf numFmtId="171" fontId="23" fillId="0" borderId="0" xfId="285" applyNumberFormat="1" applyFont="1"/>
    <xf numFmtId="0" fontId="24" fillId="0" borderId="0" xfId="285" applyFont="1" applyFill="1" applyAlignment="1">
      <alignment horizontal="right"/>
    </xf>
    <xf numFmtId="187" fontId="23" fillId="0" borderId="0" xfId="285" applyNumberFormat="1" applyFont="1"/>
    <xf numFmtId="171" fontId="21" fillId="0" borderId="0" xfId="285" applyNumberFormat="1" applyFont="1" applyFill="1"/>
    <xf numFmtId="171" fontId="0" fillId="0" borderId="0" xfId="0" applyNumberFormat="1"/>
    <xf numFmtId="167" fontId="0" fillId="0" borderId="0" xfId="0" applyNumberFormat="1"/>
    <xf numFmtId="0" fontId="0" fillId="0" borderId="54" xfId="0" applyFill="1" applyBorder="1" applyAlignment="1">
      <alignment horizontal="left" indent="1"/>
    </xf>
    <xf numFmtId="9" fontId="0" fillId="0" borderId="0" xfId="2" applyFont="1" applyFill="1"/>
    <xf numFmtId="0" fontId="0" fillId="0" borderId="56" xfId="0" applyFill="1" applyBorder="1" applyAlignment="1">
      <alignment horizontal="left" indent="1"/>
    </xf>
    <xf numFmtId="9" fontId="0" fillId="0" borderId="61" xfId="0" applyNumberFormat="1" applyBorder="1"/>
    <xf numFmtId="9" fontId="0" fillId="3" borderId="0" xfId="0" applyNumberFormat="1" applyFill="1" applyBorder="1" applyAlignment="1">
      <alignment horizontal="center" vertical="center"/>
    </xf>
    <xf numFmtId="9" fontId="0" fillId="0" borderId="0" xfId="0" applyNumberFormat="1" applyFill="1" applyBorder="1" applyAlignment="1">
      <alignment horizontal="center" vertical="center"/>
    </xf>
    <xf numFmtId="0" fontId="0" fillId="0" borderId="0" xfId="0" applyFill="1" applyAlignment="1">
      <alignment horizontal="left" indent="2"/>
    </xf>
    <xf numFmtId="9" fontId="0" fillId="0" borderId="1" xfId="0" applyNumberFormat="1" applyBorder="1"/>
    <xf numFmtId="0" fontId="20" fillId="0" borderId="0" xfId="0" applyFont="1" applyAlignment="1">
      <alignment horizontal="left" indent="2"/>
    </xf>
    <xf numFmtId="0" fontId="0" fillId="0" borderId="0" xfId="0" applyNumberFormat="1"/>
    <xf numFmtId="0" fontId="0" fillId="0" borderId="1" xfId="0" applyNumberFormat="1" applyBorder="1"/>
    <xf numFmtId="0" fontId="21" fillId="0" borderId="0" xfId="0" applyFont="1"/>
    <xf numFmtId="0" fontId="21" fillId="0" borderId="0" xfId="0" applyFont="1" applyFill="1" applyBorder="1"/>
    <xf numFmtId="188" fontId="0" fillId="0" borderId="0" xfId="0" applyNumberFormat="1" applyBorder="1"/>
    <xf numFmtId="3" fontId="22" fillId="0" borderId="0" xfId="0" applyNumberFormat="1" applyFont="1"/>
    <xf numFmtId="10" fontId="0" fillId="0" borderId="0" xfId="0" applyNumberFormat="1" applyBorder="1"/>
    <xf numFmtId="0" fontId="21" fillId="0" borderId="0" xfId="11" applyBorder="1"/>
    <xf numFmtId="42" fontId="22" fillId="0" borderId="0" xfId="0" applyNumberFormat="1" applyFont="1"/>
    <xf numFmtId="0" fontId="22" fillId="0" borderId="1" xfId="0" applyNumberFormat="1" applyFont="1" applyBorder="1"/>
    <xf numFmtId="0" fontId="22" fillId="0" borderId="0" xfId="0" applyNumberFormat="1" applyFont="1"/>
    <xf numFmtId="0" fontId="21" fillId="0" borderId="0" xfId="0" applyNumberFormat="1" applyFont="1"/>
    <xf numFmtId="0" fontId="22" fillId="0" borderId="0" xfId="0" applyFont="1"/>
    <xf numFmtId="10" fontId="22" fillId="0" borderId="0" xfId="0" applyNumberFormat="1" applyFont="1"/>
    <xf numFmtId="0" fontId="23" fillId="0" borderId="0" xfId="0" applyNumberFormat="1" applyFont="1"/>
    <xf numFmtId="0" fontId="0" fillId="0" borderId="4" xfId="0" applyBorder="1"/>
    <xf numFmtId="0" fontId="21" fillId="0" borderId="0" xfId="285" applyFont="1" applyFill="1" applyBorder="1"/>
    <xf numFmtId="0" fontId="21" fillId="0" borderId="0" xfId="285" applyFont="1" applyFill="1"/>
    <xf numFmtId="0" fontId="21" fillId="0" borderId="0" xfId="285" applyFont="1"/>
    <xf numFmtId="0" fontId="23" fillId="0" borderId="0" xfId="285" applyFont="1" applyFill="1" applyBorder="1"/>
    <xf numFmtId="0" fontId="23" fillId="0" borderId="0" xfId="285" applyFont="1" applyFill="1"/>
    <xf numFmtId="0" fontId="23" fillId="0" borderId="0" xfId="285" applyFont="1"/>
    <xf numFmtId="0" fontId="14" fillId="0" borderId="0" xfId="0" applyFont="1"/>
    <xf numFmtId="0" fontId="0" fillId="0" borderId="0" xfId="0" applyAlignment="1">
      <alignment horizontal="right" wrapText="1"/>
    </xf>
    <xf numFmtId="0" fontId="0" fillId="0" borderId="58" xfId="0" applyBorder="1" applyAlignment="1">
      <alignment horizontal="left" indent="2"/>
    </xf>
    <xf numFmtId="0" fontId="0" fillId="3" borderId="0" xfId="0" applyFill="1"/>
    <xf numFmtId="0" fontId="5" fillId="61" borderId="0" xfId="0" applyFont="1" applyFill="1"/>
    <xf numFmtId="0" fontId="0" fillId="61" borderId="0" xfId="0" applyFill="1"/>
    <xf numFmtId="9" fontId="0" fillId="61" borderId="0" xfId="2" applyFont="1" applyFill="1"/>
    <xf numFmtId="10" fontId="5" fillId="61" borderId="0" xfId="2" applyNumberFormat="1" applyFont="1" applyFill="1"/>
    <xf numFmtId="41" fontId="0" fillId="0" borderId="0" xfId="1" applyNumberFormat="1" applyFont="1" applyFill="1"/>
    <xf numFmtId="170" fontId="0" fillId="0" borderId="0" xfId="0" applyNumberFormat="1"/>
    <xf numFmtId="41" fontId="0" fillId="0" borderId="0" xfId="1" applyNumberFormat="1" applyFont="1"/>
    <xf numFmtId="41" fontId="0" fillId="0" borderId="0" xfId="0" applyNumberFormat="1"/>
    <xf numFmtId="41" fontId="5" fillId="0" borderId="0" xfId="1" applyNumberFormat="1" applyFont="1"/>
    <xf numFmtId="41" fontId="5" fillId="0" borderId="0" xfId="0" applyNumberFormat="1" applyFont="1"/>
    <xf numFmtId="170" fontId="5" fillId="0" borderId="0" xfId="0" applyNumberFormat="1" applyFont="1"/>
    <xf numFmtId="0" fontId="0" fillId="62" borderId="0" xfId="0" applyFill="1" applyAlignment="1">
      <alignment horizontal="right"/>
    </xf>
    <xf numFmtId="0" fontId="5" fillId="62" borderId="0" xfId="0" applyFont="1" applyFill="1"/>
    <xf numFmtId="0" fontId="104" fillId="0" borderId="0" xfId="0" applyFont="1" applyAlignment="1">
      <alignment horizontal="center"/>
    </xf>
    <xf numFmtId="0" fontId="0" fillId="0" borderId="60" xfId="0" applyBorder="1" applyAlignment="1">
      <alignment horizontal="left" indent="2"/>
    </xf>
    <xf numFmtId="0" fontId="107" fillId="0" borderId="0" xfId="0" applyFont="1"/>
    <xf numFmtId="0" fontId="21" fillId="0" borderId="5" xfId="18008" applyBorder="1" applyProtection="1">
      <protection locked="0"/>
    </xf>
    <xf numFmtId="0" fontId="21" fillId="0" borderId="64" xfId="18008" applyBorder="1" applyProtection="1">
      <protection locked="0"/>
    </xf>
    <xf numFmtId="0" fontId="21" fillId="0" borderId="65" xfId="18008" applyBorder="1" applyProtection="1">
      <protection locked="0"/>
    </xf>
    <xf numFmtId="169" fontId="21" fillId="57" borderId="5" xfId="2963" applyNumberFormat="1" applyFont="1" applyFill="1" applyBorder="1" applyProtection="1">
      <protection locked="0"/>
    </xf>
    <xf numFmtId="169" fontId="21" fillId="57" borderId="64" xfId="2963" applyNumberFormat="1" applyFont="1" applyFill="1" applyBorder="1" applyProtection="1">
      <protection locked="0"/>
    </xf>
    <xf numFmtId="169" fontId="21" fillId="57" borderId="64" xfId="18008" applyNumberFormat="1" applyFill="1" applyBorder="1" applyProtection="1">
      <protection locked="0"/>
    </xf>
    <xf numFmtId="169" fontId="21" fillId="57" borderId="65" xfId="18008" applyNumberFormat="1" applyFill="1" applyBorder="1" applyProtection="1">
      <protection locked="0"/>
    </xf>
    <xf numFmtId="169" fontId="21" fillId="0" borderId="8" xfId="2963" applyNumberFormat="1" applyFont="1" applyBorder="1" applyProtection="1">
      <protection locked="0"/>
    </xf>
    <xf numFmtId="169" fontId="21" fillId="0" borderId="0" xfId="2963" applyNumberFormat="1" applyFont="1" applyBorder="1" applyProtection="1">
      <protection locked="0"/>
    </xf>
    <xf numFmtId="169" fontId="21" fillId="0" borderId="9" xfId="2963" applyNumberFormat="1" applyFont="1" applyBorder="1" applyProtection="1">
      <protection locked="0"/>
    </xf>
    <xf numFmtId="169" fontId="21" fillId="57" borderId="8" xfId="2963" applyNumberFormat="1" applyFont="1" applyFill="1" applyBorder="1" applyProtection="1">
      <protection locked="0"/>
    </xf>
    <xf numFmtId="169" fontId="21" fillId="57" borderId="0" xfId="2963" applyNumberFormat="1" applyFont="1" applyFill="1" applyBorder="1" applyProtection="1">
      <protection locked="0"/>
    </xf>
    <xf numFmtId="169" fontId="21" fillId="57" borderId="9" xfId="2963" applyNumberFormat="1" applyFont="1" applyFill="1" applyBorder="1" applyProtection="1">
      <protection locked="0"/>
    </xf>
    <xf numFmtId="169" fontId="21" fillId="0" borderId="10" xfId="2963" applyNumberFormat="1" applyFont="1" applyBorder="1" applyProtection="1">
      <protection locked="0"/>
    </xf>
    <xf numFmtId="169" fontId="21" fillId="0" borderId="3" xfId="2963" applyNumberFormat="1" applyFont="1" applyBorder="1" applyProtection="1">
      <protection locked="0"/>
    </xf>
    <xf numFmtId="169" fontId="21" fillId="0" borderId="11" xfId="2963" applyNumberFormat="1" applyFont="1" applyBorder="1" applyProtection="1">
      <protection locked="0"/>
    </xf>
    <xf numFmtId="0" fontId="0" fillId="0" borderId="74" xfId="0" applyFont="1" applyBorder="1" applyAlignment="1">
      <alignment horizontal="left" indent="3"/>
    </xf>
    <xf numFmtId="0" fontId="104" fillId="0" borderId="62" xfId="0" applyFont="1" applyBorder="1" applyAlignment="1">
      <alignment horizontal="center"/>
    </xf>
    <xf numFmtId="0" fontId="0" fillId="0" borderId="32" xfId="0" applyBorder="1" applyAlignment="1">
      <alignment horizontal="left" indent="1"/>
    </xf>
    <xf numFmtId="10" fontId="0" fillId="0" borderId="76" xfId="2" applyNumberFormat="1" applyFont="1" applyFill="1" applyBorder="1"/>
    <xf numFmtId="191" fontId="0" fillId="0" borderId="0" xfId="0" applyNumberFormat="1"/>
    <xf numFmtId="0" fontId="0" fillId="0" borderId="75" xfId="0" applyBorder="1" applyAlignment="1">
      <alignment horizontal="left" indent="1"/>
    </xf>
    <xf numFmtId="0" fontId="116" fillId="0" borderId="56" xfId="0" applyFont="1" applyBorder="1" applyAlignment="1">
      <alignment horizontal="left" indent="3"/>
    </xf>
    <xf numFmtId="192" fontId="21" fillId="0" borderId="0" xfId="18639"/>
    <xf numFmtId="193" fontId="118" fillId="0" borderId="0" xfId="18639" applyNumberFormat="1" applyFont="1"/>
    <xf numFmtId="1" fontId="118" fillId="0" borderId="0" xfId="18639" applyNumberFormat="1" applyFont="1"/>
    <xf numFmtId="194" fontId="118" fillId="0" borderId="0" xfId="18639" applyNumberFormat="1" applyFont="1"/>
    <xf numFmtId="194" fontId="118" fillId="0" borderId="0" xfId="18639" applyNumberFormat="1" applyFont="1" applyAlignment="1">
      <alignment horizontal="center"/>
    </xf>
    <xf numFmtId="170" fontId="21" fillId="0" borderId="0" xfId="18640" applyNumberFormat="1" applyFont="1"/>
    <xf numFmtId="1" fontId="120" fillId="0" borderId="0" xfId="18639" applyNumberFormat="1" applyFont="1"/>
    <xf numFmtId="3" fontId="120" fillId="0" borderId="0" xfId="18639" applyNumberFormat="1" applyFont="1"/>
    <xf numFmtId="193" fontId="120" fillId="0" borderId="0" xfId="18639" applyNumberFormat="1" applyFont="1"/>
    <xf numFmtId="193" fontId="120" fillId="0" borderId="0" xfId="18639" applyNumberFormat="1" applyFont="1" applyAlignment="1">
      <alignment horizontal="center"/>
    </xf>
    <xf numFmtId="194" fontId="120" fillId="0" borderId="0" xfId="18639" applyNumberFormat="1" applyFont="1"/>
    <xf numFmtId="192" fontId="106" fillId="0" borderId="0" xfId="18639" applyFont="1"/>
    <xf numFmtId="1" fontId="122" fillId="0" borderId="0" xfId="18639" applyNumberFormat="1" applyFont="1"/>
    <xf numFmtId="3" fontId="122" fillId="0" borderId="0" xfId="18639" applyNumberFormat="1" applyFont="1"/>
    <xf numFmtId="193" fontId="122" fillId="0" borderId="0" xfId="18639" applyNumberFormat="1" applyFont="1"/>
    <xf numFmtId="193" fontId="122" fillId="0" borderId="0" xfId="18639" applyNumberFormat="1" applyFont="1" applyAlignment="1">
      <alignment horizontal="center"/>
    </xf>
    <xf numFmtId="194" fontId="122" fillId="0" borderId="0" xfId="18639" applyNumberFormat="1" applyFont="1"/>
    <xf numFmtId="1" fontId="118" fillId="0" borderId="5" xfId="18639" applyNumberFormat="1" applyFont="1" applyBorder="1"/>
    <xf numFmtId="1" fontId="118" fillId="0" borderId="82" xfId="18639" applyNumberFormat="1" applyFont="1" applyBorder="1"/>
    <xf numFmtId="3" fontId="124" fillId="0" borderId="82" xfId="18639" applyNumberFormat="1" applyFont="1" applyBorder="1"/>
    <xf numFmtId="1" fontId="124" fillId="0" borderId="82" xfId="18639" applyNumberFormat="1" applyFont="1" applyBorder="1"/>
    <xf numFmtId="192" fontId="118" fillId="0" borderId="82" xfId="18639" applyFont="1" applyBorder="1"/>
    <xf numFmtId="193" fontId="124" fillId="0" borderId="82" xfId="18639" applyNumberFormat="1" applyFont="1" applyBorder="1"/>
    <xf numFmtId="193" fontId="124" fillId="0" borderId="82" xfId="18639" applyNumberFormat="1" applyFont="1" applyBorder="1" applyAlignment="1">
      <alignment horizontal="center"/>
    </xf>
    <xf numFmtId="192" fontId="21" fillId="0" borderId="82" xfId="18639" applyBorder="1"/>
    <xf numFmtId="192" fontId="21" fillId="0" borderId="51" xfId="18639" applyBorder="1"/>
    <xf numFmtId="192" fontId="21" fillId="0" borderId="5" xfId="18639" applyBorder="1"/>
    <xf numFmtId="193" fontId="124" fillId="0" borderId="82" xfId="18639" applyNumberFormat="1" applyFont="1" applyBorder="1" applyAlignment="1" applyProtection="1">
      <alignment horizontal="left"/>
      <protection locked="0"/>
    </xf>
    <xf numFmtId="194" fontId="124" fillId="0" borderId="82" xfId="18639" applyNumberFormat="1" applyFont="1" applyBorder="1"/>
    <xf numFmtId="194" fontId="124" fillId="0" borderId="83" xfId="18639" applyNumberFormat="1" applyFont="1" applyBorder="1"/>
    <xf numFmtId="194" fontId="124" fillId="0" borderId="8" xfId="18639" applyNumberFormat="1" applyFont="1" applyBorder="1"/>
    <xf numFmtId="1" fontId="118" fillId="0" borderId="83" xfId="18639" applyNumberFormat="1" applyFont="1" applyBorder="1"/>
    <xf numFmtId="1" fontId="118" fillId="0" borderId="0" xfId="18639" applyNumberFormat="1" applyFont="1" applyBorder="1"/>
    <xf numFmtId="192" fontId="98" fillId="0" borderId="0" xfId="18641"/>
    <xf numFmtId="192" fontId="98" fillId="0" borderId="14" xfId="18641" applyBorder="1" applyAlignment="1"/>
    <xf numFmtId="194" fontId="125" fillId="0" borderId="0" xfId="18639" applyNumberFormat="1" applyFont="1" applyBorder="1" applyAlignment="1" applyProtection="1">
      <alignment horizontal="centerContinuous" vertical="center"/>
      <protection locked="0"/>
    </xf>
    <xf numFmtId="192" fontId="124" fillId="0" borderId="0" xfId="18639" applyFont="1" applyBorder="1" applyAlignment="1">
      <alignment horizontal="center"/>
    </xf>
    <xf numFmtId="1" fontId="118" fillId="0" borderId="8" xfId="18639" applyNumberFormat="1" applyFont="1" applyBorder="1"/>
    <xf numFmtId="3" fontId="118" fillId="0" borderId="0" xfId="18639" applyNumberFormat="1" applyFont="1" applyBorder="1"/>
    <xf numFmtId="193" fontId="118" fillId="0" borderId="0" xfId="18639" applyNumberFormat="1" applyFont="1" applyBorder="1"/>
    <xf numFmtId="193" fontId="118" fillId="0" borderId="0" xfId="18639" applyNumberFormat="1" applyFont="1" applyBorder="1" applyAlignment="1">
      <alignment horizontal="center"/>
    </xf>
    <xf numFmtId="194" fontId="127" fillId="0" borderId="14" xfId="18639" applyNumberFormat="1" applyFont="1" applyBorder="1" applyAlignment="1" applyProtection="1">
      <alignment horizontal="center" vertical="center"/>
      <protection locked="0"/>
    </xf>
    <xf numFmtId="193" fontId="118" fillId="0" borderId="8" xfId="18639" applyNumberFormat="1" applyFont="1" applyBorder="1"/>
    <xf numFmtId="192" fontId="127" fillId="0" borderId="0" xfId="18639" applyFont="1" applyBorder="1" applyAlignment="1">
      <alignment horizontal="center"/>
    </xf>
    <xf numFmtId="194" fontId="127" fillId="0" borderId="9" xfId="18639" applyNumberFormat="1" applyFont="1" applyBorder="1" applyAlignment="1" applyProtection="1">
      <alignment horizontal="center" vertical="center"/>
      <protection locked="0"/>
    </xf>
    <xf numFmtId="4" fontId="21" fillId="0" borderId="40" xfId="18639" applyNumberFormat="1" applyFont="1" applyBorder="1"/>
    <xf numFmtId="192" fontId="21" fillId="0" borderId="39" xfId="18639" applyBorder="1"/>
    <xf numFmtId="192" fontId="21" fillId="0" borderId="39" xfId="18639" applyBorder="1" applyAlignment="1">
      <alignment horizontal="center"/>
    </xf>
    <xf numFmtId="192" fontId="21" fillId="0" borderId="38" xfId="18639" applyBorder="1" applyAlignment="1">
      <alignment horizontal="center"/>
    </xf>
    <xf numFmtId="1" fontId="128" fillId="0" borderId="8" xfId="18639" applyNumberFormat="1" applyFont="1" applyBorder="1" applyAlignment="1">
      <alignment vertical="center"/>
    </xf>
    <xf numFmtId="1" fontId="128" fillId="0" borderId="0" xfId="18639" applyNumberFormat="1" applyFont="1" applyBorder="1" applyAlignment="1">
      <alignment vertical="center"/>
    </xf>
    <xf numFmtId="3" fontId="127" fillId="0" borderId="0" xfId="18639" applyNumberFormat="1" applyFont="1" applyBorder="1" applyAlignment="1">
      <alignment horizontal="right" vertical="center"/>
    </xf>
    <xf numFmtId="1" fontId="127" fillId="0" borderId="0" xfId="18639" applyNumberFormat="1" applyFont="1" applyBorder="1" applyAlignment="1">
      <alignment horizontal="right" vertical="center"/>
    </xf>
    <xf numFmtId="37" fontId="129" fillId="0" borderId="0" xfId="18639" applyNumberFormat="1" applyFont="1" applyBorder="1" applyAlignment="1" applyProtection="1">
      <alignment horizontal="left" vertical="center"/>
      <protection locked="0"/>
    </xf>
    <xf numFmtId="193" fontId="127" fillId="0" borderId="0" xfId="18639" applyNumberFormat="1" applyFont="1" applyBorder="1" applyAlignment="1" applyProtection="1">
      <alignment horizontal="right" vertical="center"/>
      <protection locked="0"/>
    </xf>
    <xf numFmtId="193" fontId="127" fillId="0" borderId="84" xfId="18639" applyNumberFormat="1" applyFont="1" applyBorder="1" applyAlignment="1" applyProtection="1">
      <alignment horizontal="right" vertical="center"/>
      <protection locked="0"/>
    </xf>
    <xf numFmtId="193" fontId="127" fillId="0" borderId="8" xfId="18639" applyNumberFormat="1" applyFont="1" applyBorder="1" applyAlignment="1">
      <alignment horizontal="right" vertical="center"/>
    </xf>
    <xf numFmtId="193" fontId="127" fillId="0" borderId="0" xfId="18639" applyNumberFormat="1" applyFont="1" applyBorder="1" applyAlignment="1">
      <alignment horizontal="right" vertical="center"/>
    </xf>
    <xf numFmtId="192" fontId="130" fillId="0" borderId="0" xfId="18639" applyFont="1" applyBorder="1" applyAlignment="1">
      <alignment horizontal="center"/>
    </xf>
    <xf numFmtId="192" fontId="127" fillId="0" borderId="0" xfId="18639" applyFont="1" applyBorder="1" applyAlignment="1">
      <alignment horizontal="right"/>
    </xf>
    <xf numFmtId="192" fontId="21" fillId="0" borderId="0" xfId="18639" applyBorder="1"/>
    <xf numFmtId="37" fontId="129" fillId="0" borderId="8" xfId="18639" applyNumberFormat="1" applyFont="1" applyBorder="1" applyAlignment="1" applyProtection="1">
      <alignment horizontal="center" vertical="center"/>
      <protection locked="0"/>
    </xf>
    <xf numFmtId="38" fontId="131" fillId="0" borderId="0" xfId="18639" applyNumberFormat="1" applyFont="1" applyFill="1" applyBorder="1" applyAlignment="1" applyProtection="1">
      <alignment horizontal="center" vertical="center"/>
      <protection locked="0"/>
    </xf>
    <xf numFmtId="38" fontId="132" fillId="0" borderId="0" xfId="18639" applyNumberFormat="1" applyFont="1" applyFill="1" applyBorder="1" applyAlignment="1" applyProtection="1">
      <alignment horizontal="center"/>
      <protection locked="0"/>
    </xf>
    <xf numFmtId="192" fontId="106" fillId="0" borderId="0" xfId="18639" applyFont="1" applyBorder="1" applyAlignment="1">
      <alignment horizontal="center"/>
    </xf>
    <xf numFmtId="4" fontId="21" fillId="0" borderId="34" xfId="18639" applyNumberFormat="1" applyFont="1" applyBorder="1"/>
    <xf numFmtId="192" fontId="21" fillId="0" borderId="0" xfId="18639" applyBorder="1" applyAlignment="1">
      <alignment horizontal="center"/>
    </xf>
    <xf numFmtId="4" fontId="21" fillId="0" borderId="0" xfId="18639" applyNumberFormat="1" applyFont="1" applyBorder="1" applyAlignment="1">
      <alignment horizontal="center"/>
    </xf>
    <xf numFmtId="4" fontId="21" fillId="0" borderId="33" xfId="18639" applyNumberFormat="1" applyFont="1" applyBorder="1" applyAlignment="1">
      <alignment horizontal="center"/>
    </xf>
    <xf numFmtId="4" fontId="21" fillId="0" borderId="0" xfId="18639" applyNumberFormat="1" applyFont="1"/>
    <xf numFmtId="3" fontId="127" fillId="0" borderId="0" xfId="18639" applyNumberFormat="1" applyFont="1" applyBorder="1" applyAlignment="1" applyProtection="1">
      <alignment horizontal="right" vertical="center"/>
      <protection locked="0"/>
    </xf>
    <xf numFmtId="1" fontId="127" fillId="0" borderId="0" xfId="18639" applyNumberFormat="1" applyFont="1" applyBorder="1" applyAlignment="1" applyProtection="1">
      <alignment horizontal="right" vertical="center"/>
      <protection locked="0"/>
    </xf>
    <xf numFmtId="194" fontId="127" fillId="0" borderId="0" xfId="18639" applyNumberFormat="1" applyFont="1" applyBorder="1" applyAlignment="1" applyProtection="1">
      <alignment horizontal="right" vertical="center"/>
      <protection locked="0"/>
    </xf>
    <xf numFmtId="193" fontId="127" fillId="0" borderId="14" xfId="18639" applyNumberFormat="1" applyFont="1" applyBorder="1" applyAlignment="1" applyProtection="1">
      <alignment horizontal="right" vertical="center"/>
      <protection locked="0"/>
    </xf>
    <xf numFmtId="193" fontId="127" fillId="0" borderId="9" xfId="18639" applyNumberFormat="1" applyFont="1" applyBorder="1" applyAlignment="1" applyProtection="1">
      <alignment horizontal="right" vertical="center"/>
      <protection locked="0"/>
    </xf>
    <xf numFmtId="192" fontId="133" fillId="0" borderId="0" xfId="18639" applyFont="1" applyBorder="1" applyAlignment="1">
      <alignment horizontal="center"/>
    </xf>
    <xf numFmtId="4" fontId="23" fillId="0" borderId="34" xfId="18639" applyNumberFormat="1" applyFont="1" applyBorder="1" applyAlignment="1">
      <alignment horizontal="center"/>
    </xf>
    <xf numFmtId="192" fontId="21" fillId="0" borderId="33" xfId="18639" applyBorder="1" applyAlignment="1">
      <alignment horizontal="center"/>
    </xf>
    <xf numFmtId="1" fontId="127" fillId="0" borderId="42" xfId="18639" applyNumberFormat="1" applyFont="1" applyFill="1" applyBorder="1" applyAlignment="1" applyProtection="1">
      <alignment horizontal="center" vertical="center"/>
      <protection locked="0"/>
    </xf>
    <xf numFmtId="1" fontId="128" fillId="0" borderId="85" xfId="18639" applyNumberFormat="1" applyFont="1" applyBorder="1" applyAlignment="1">
      <alignment horizontal="left" vertical="center"/>
    </xf>
    <xf numFmtId="3" fontId="127" fillId="0" borderId="86" xfId="18639" applyNumberFormat="1" applyFont="1" applyBorder="1" applyAlignment="1" applyProtection="1">
      <alignment horizontal="right" vertical="center"/>
      <protection locked="0"/>
    </xf>
    <xf numFmtId="1" fontId="127" fillId="0" borderId="86" xfId="18639" applyNumberFormat="1" applyFont="1" applyBorder="1" applyAlignment="1">
      <alignment horizontal="right" vertical="center"/>
    </xf>
    <xf numFmtId="37" fontId="134" fillId="0" borderId="86" xfId="18639" applyNumberFormat="1" applyFont="1" applyBorder="1" applyAlignment="1" applyProtection="1">
      <alignment horizontal="center" vertical="center"/>
      <protection locked="0"/>
    </xf>
    <xf numFmtId="1" fontId="127" fillId="0" borderId="86" xfId="18639" applyNumberFormat="1" applyFont="1" applyBorder="1" applyAlignment="1" applyProtection="1">
      <alignment horizontal="right" vertical="center"/>
      <protection locked="0"/>
    </xf>
    <xf numFmtId="193" fontId="127" fillId="0" borderId="86" xfId="18639" applyNumberFormat="1" applyFont="1" applyBorder="1" applyAlignment="1" applyProtection="1">
      <alignment horizontal="right" vertical="center"/>
      <protection locked="0"/>
    </xf>
    <xf numFmtId="193" fontId="118" fillId="0" borderId="86" xfId="18639" applyNumberFormat="1" applyFont="1" applyBorder="1" applyAlignment="1">
      <alignment horizontal="center"/>
    </xf>
    <xf numFmtId="193" fontId="127" fillId="0" borderId="87" xfId="18639" applyNumberFormat="1" applyFont="1" applyBorder="1" applyAlignment="1" applyProtection="1">
      <alignment horizontal="right" vertical="center"/>
      <protection locked="0"/>
    </xf>
    <xf numFmtId="194" fontId="127" fillId="0" borderId="86" xfId="18639" applyNumberFormat="1" applyFont="1" applyBorder="1" applyAlignment="1" applyProtection="1">
      <alignment horizontal="right" vertical="center"/>
      <protection locked="0"/>
    </xf>
    <xf numFmtId="192" fontId="21" fillId="0" borderId="86" xfId="18639" applyBorder="1"/>
    <xf numFmtId="192" fontId="127" fillId="0" borderId="85" xfId="18639" applyFont="1" applyBorder="1" applyAlignment="1">
      <alignment horizontal="right" vertical="center"/>
    </xf>
    <xf numFmtId="37" fontId="129" fillId="0" borderId="86" xfId="18639" applyNumberFormat="1" applyFont="1" applyBorder="1" applyAlignment="1" applyProtection="1">
      <alignment horizontal="left" vertical="center"/>
      <protection locked="0"/>
    </xf>
    <xf numFmtId="195" fontId="129" fillId="0" borderId="86" xfId="18639" applyNumberFormat="1" applyFont="1" applyFill="1" applyBorder="1" applyAlignment="1" applyProtection="1">
      <alignment horizontal="left" vertical="center"/>
      <protection locked="0"/>
    </xf>
    <xf numFmtId="193" fontId="127" fillId="0" borderId="86" xfId="18639" quotePrefix="1" applyNumberFormat="1" applyFont="1" applyBorder="1" applyAlignment="1" applyProtection="1">
      <alignment horizontal="right" vertical="center"/>
      <protection locked="0"/>
    </xf>
    <xf numFmtId="37" fontId="129" fillId="0" borderId="86" xfId="18639" applyNumberFormat="1" applyFont="1" applyBorder="1" applyAlignment="1" applyProtection="1">
      <alignment horizontal="right" vertical="center"/>
      <protection locked="0"/>
    </xf>
    <xf numFmtId="193" fontId="127" fillId="0" borderId="88" xfId="18639" applyNumberFormat="1" applyFont="1" applyBorder="1" applyAlignment="1" applyProtection="1">
      <alignment horizontal="right" vertical="center"/>
      <protection locked="0"/>
    </xf>
    <xf numFmtId="192" fontId="127" fillId="0" borderId="42" xfId="18639" applyFont="1" applyFill="1" applyBorder="1" applyAlignment="1" applyProtection="1">
      <alignment horizontal="center" vertical="center"/>
      <protection locked="0"/>
    </xf>
    <xf numFmtId="193" fontId="127" fillId="0" borderId="8" xfId="18639" applyNumberFormat="1" applyFont="1" applyBorder="1" applyAlignment="1" applyProtection="1">
      <alignment horizontal="right" vertical="center"/>
      <protection locked="0"/>
    </xf>
    <xf numFmtId="192" fontId="127" fillId="0" borderId="0" xfId="18639" applyFont="1" applyFill="1" applyBorder="1" applyAlignment="1" applyProtection="1">
      <alignment horizontal="center" vertical="center"/>
      <protection locked="0"/>
    </xf>
    <xf numFmtId="4" fontId="127" fillId="0" borderId="0" xfId="18639" applyNumberFormat="1" applyFont="1" applyBorder="1" applyAlignment="1" applyProtection="1">
      <alignment vertical="center"/>
      <protection locked="0"/>
    </xf>
    <xf numFmtId="4" fontId="15" fillId="0" borderId="0" xfId="18639" applyNumberFormat="1" applyFont="1" applyBorder="1" applyAlignment="1"/>
    <xf numFmtId="192" fontId="23" fillId="0" borderId="34" xfId="18639" applyFont="1" applyBorder="1" applyAlignment="1">
      <alignment horizontal="center"/>
    </xf>
    <xf numFmtId="3" fontId="21" fillId="0" borderId="0" xfId="18639" applyNumberFormat="1"/>
    <xf numFmtId="1" fontId="127" fillId="0" borderId="89" xfId="18639" applyNumberFormat="1" applyFont="1" applyFill="1" applyBorder="1" applyAlignment="1" applyProtection="1">
      <alignment horizontal="center" vertical="center"/>
      <protection locked="0"/>
    </xf>
    <xf numFmtId="192" fontId="21" fillId="0" borderId="8" xfId="18639" applyBorder="1"/>
    <xf numFmtId="38" fontId="127" fillId="62" borderId="0" xfId="18639" applyNumberFormat="1" applyFont="1" applyFill="1" applyBorder="1" applyAlignment="1" applyProtection="1">
      <alignment horizontal="right" vertical="center"/>
      <protection locked="0"/>
    </xf>
    <xf numFmtId="1" fontId="127" fillId="62" borderId="0" xfId="18639" applyNumberFormat="1" applyFont="1" applyFill="1" applyBorder="1" applyAlignment="1">
      <alignment vertical="center"/>
    </xf>
    <xf numFmtId="38" fontId="127" fillId="62" borderId="0" xfId="18639" applyNumberFormat="1" applyFont="1" applyFill="1" applyBorder="1" applyAlignment="1">
      <alignment vertical="center"/>
    </xf>
    <xf numFmtId="37" fontId="134" fillId="62" borderId="0" xfId="18639" applyNumberFormat="1" applyFont="1" applyFill="1" applyBorder="1" applyAlignment="1" applyProtection="1">
      <alignment horizontal="center" vertical="center"/>
      <protection locked="0"/>
    </xf>
    <xf numFmtId="1" fontId="127" fillId="62" borderId="0" xfId="18639" applyNumberFormat="1" applyFont="1" applyFill="1" applyBorder="1" applyAlignment="1" applyProtection="1">
      <alignment horizontal="right" vertical="center"/>
      <protection locked="0"/>
    </xf>
    <xf numFmtId="193" fontId="118" fillId="62" borderId="0" xfId="18639" applyNumberFormat="1" applyFont="1" applyFill="1" applyBorder="1" applyAlignment="1">
      <alignment horizontal="center"/>
    </xf>
    <xf numFmtId="38" fontId="127" fillId="62" borderId="0" xfId="18639" applyNumberFormat="1" applyFont="1" applyFill="1" applyBorder="1" applyAlignment="1" applyProtection="1">
      <alignment vertical="center"/>
      <protection locked="0"/>
    </xf>
    <xf numFmtId="38" fontId="127" fillId="62" borderId="84" xfId="18639" applyNumberFormat="1" applyFont="1" applyFill="1" applyBorder="1" applyAlignment="1" applyProtection="1">
      <alignment vertical="center"/>
      <protection locked="0"/>
    </xf>
    <xf numFmtId="194" fontId="127" fillId="62" borderId="0" xfId="18639" applyNumberFormat="1" applyFont="1" applyFill="1" applyBorder="1" applyAlignment="1" applyProtection="1">
      <alignment vertical="center"/>
      <protection locked="0"/>
    </xf>
    <xf numFmtId="194" fontId="127" fillId="62" borderId="14" xfId="18639" applyNumberFormat="1" applyFont="1" applyFill="1" applyBorder="1" applyAlignment="1" applyProtection="1">
      <alignment vertical="center"/>
      <protection locked="0"/>
    </xf>
    <xf numFmtId="38" fontId="127" fillId="62" borderId="8" xfId="18639" applyNumberFormat="1" applyFont="1" applyFill="1" applyBorder="1" applyAlignment="1">
      <alignment vertical="center"/>
    </xf>
    <xf numFmtId="192" fontId="127" fillId="62" borderId="0" xfId="18639" applyFont="1" applyFill="1" applyBorder="1" applyAlignment="1">
      <alignment vertical="center"/>
    </xf>
    <xf numFmtId="193" fontId="127" fillId="62" borderId="0" xfId="18639" applyNumberFormat="1" applyFont="1" applyFill="1" applyBorder="1" applyAlignment="1" applyProtection="1">
      <alignment horizontal="right" vertical="center"/>
      <protection locked="0"/>
    </xf>
    <xf numFmtId="193" fontId="127" fillId="62" borderId="0" xfId="18639" applyNumberFormat="1" applyFont="1" applyFill="1" applyBorder="1" applyAlignment="1" applyProtection="1">
      <alignment vertical="center"/>
      <protection locked="0"/>
    </xf>
    <xf numFmtId="193" fontId="127" fillId="62" borderId="84" xfId="18639" applyNumberFormat="1" applyFont="1" applyFill="1" applyBorder="1" applyAlignment="1" applyProtection="1">
      <alignment vertical="center"/>
      <protection locked="0"/>
    </xf>
    <xf numFmtId="196" fontId="127" fillId="62" borderId="90" xfId="18639" applyNumberFormat="1" applyFont="1" applyFill="1" applyBorder="1" applyAlignment="1" applyProtection="1">
      <alignment horizontal="center" vertical="center"/>
      <protection locked="0"/>
    </xf>
    <xf numFmtId="192" fontId="21" fillId="62" borderId="0" xfId="18639" applyFill="1"/>
    <xf numFmtId="38" fontId="127" fillId="62" borderId="8" xfId="18639" applyNumberFormat="1" applyFont="1" applyFill="1" applyBorder="1" applyAlignment="1" applyProtection="1">
      <alignment vertical="center"/>
      <protection locked="0"/>
    </xf>
    <xf numFmtId="197" fontId="127" fillId="62" borderId="9" xfId="18639" applyNumberFormat="1" applyFont="1" applyFill="1" applyBorder="1" applyAlignment="1" applyProtection="1">
      <alignment vertical="center"/>
      <protection locked="0"/>
    </xf>
    <xf numFmtId="1" fontId="127" fillId="0" borderId="0" xfId="18639" applyNumberFormat="1" applyFont="1" applyFill="1" applyBorder="1" applyAlignment="1" applyProtection="1">
      <alignment horizontal="right" vertical="center"/>
      <protection locked="0"/>
    </xf>
    <xf numFmtId="38" fontId="131" fillId="0" borderId="0" xfId="18639" applyNumberFormat="1" applyFont="1" applyFill="1" applyBorder="1" applyAlignment="1" applyProtection="1">
      <alignment horizontal="right" vertical="center"/>
      <protection locked="0"/>
    </xf>
    <xf numFmtId="38" fontId="132" fillId="0" borderId="0" xfId="18639" applyNumberFormat="1" applyFont="1" applyFill="1" applyBorder="1" applyAlignment="1" applyProtection="1">
      <alignment horizontal="right"/>
      <protection locked="0"/>
    </xf>
    <xf numFmtId="192" fontId="106" fillId="0" borderId="0" xfId="18639" applyFont="1" applyBorder="1" applyAlignment="1">
      <alignment horizontal="right"/>
    </xf>
    <xf numFmtId="192" fontId="106" fillId="0" borderId="0" xfId="18639" applyFont="1" applyBorder="1"/>
    <xf numFmtId="38" fontId="21" fillId="3" borderId="0" xfId="18639" applyNumberFormat="1" applyFill="1" applyBorder="1"/>
    <xf numFmtId="43" fontId="21" fillId="88" borderId="0" xfId="18640" applyFont="1" applyFill="1" applyBorder="1"/>
    <xf numFmtId="198" fontId="21" fillId="88" borderId="0" xfId="18642" applyNumberFormat="1" applyFont="1" applyFill="1" applyBorder="1"/>
    <xf numFmtId="198" fontId="21" fillId="88" borderId="33" xfId="18642" applyNumberFormat="1" applyFont="1" applyFill="1" applyBorder="1"/>
    <xf numFmtId="196" fontId="127" fillId="0" borderId="51" xfId="18639" applyNumberFormat="1" applyFont="1" applyFill="1" applyBorder="1" applyAlignment="1">
      <alignment horizontal="center" vertical="center"/>
    </xf>
    <xf numFmtId="1" fontId="128" fillId="0" borderId="8" xfId="18639" applyNumberFormat="1" applyFont="1" applyFill="1" applyBorder="1" applyAlignment="1">
      <alignment vertical="center"/>
    </xf>
    <xf numFmtId="195" fontId="129" fillId="62" borderId="0" xfId="18639" applyNumberFormat="1" applyFont="1" applyFill="1" applyBorder="1" applyAlignment="1" applyProtection="1">
      <alignment horizontal="left" vertical="center"/>
      <protection locked="0"/>
    </xf>
    <xf numFmtId="38" fontId="127" fillId="62" borderId="9" xfId="18639" applyNumberFormat="1" applyFont="1" applyFill="1" applyBorder="1" applyAlignment="1" applyProtection="1">
      <alignment vertical="center"/>
      <protection locked="0"/>
    </xf>
    <xf numFmtId="194" fontId="127" fillId="62" borderId="9" xfId="18639" applyNumberFormat="1" applyFont="1" applyFill="1" applyBorder="1" applyAlignment="1" applyProtection="1">
      <alignment vertical="center"/>
      <protection locked="0"/>
    </xf>
    <xf numFmtId="38" fontId="127" fillId="62" borderId="0" xfId="18640" applyNumberFormat="1" applyFont="1" applyFill="1" applyBorder="1" applyAlignment="1">
      <alignment vertical="center"/>
    </xf>
    <xf numFmtId="193" fontId="127" fillId="62" borderId="84" xfId="18639" applyNumberFormat="1" applyFont="1" applyFill="1" applyBorder="1" applyAlignment="1">
      <alignment vertical="center"/>
    </xf>
    <xf numFmtId="193" fontId="127" fillId="62" borderId="0" xfId="18639" applyNumberFormat="1" applyFont="1" applyFill="1" applyBorder="1" applyAlignment="1">
      <alignment vertical="center"/>
    </xf>
    <xf numFmtId="196" fontId="127" fillId="62" borderId="51" xfId="18639" applyNumberFormat="1" applyFont="1" applyFill="1" applyBorder="1" applyAlignment="1" applyProtection="1">
      <alignment horizontal="center" vertical="center"/>
      <protection locked="0"/>
    </xf>
    <xf numFmtId="196" fontId="127" fillId="0" borderId="0" xfId="18639" applyNumberFormat="1" applyFont="1" applyFill="1" applyBorder="1" applyAlignment="1" applyProtection="1">
      <alignment horizontal="center" vertical="center"/>
      <protection locked="0"/>
    </xf>
    <xf numFmtId="4" fontId="15" fillId="0" borderId="0" xfId="18639" applyNumberFormat="1" applyFont="1" applyBorder="1" applyAlignment="1">
      <alignment vertical="center"/>
    </xf>
    <xf numFmtId="198" fontId="21" fillId="89" borderId="33" xfId="18642" applyNumberFormat="1" applyFont="1" applyFill="1" applyBorder="1"/>
    <xf numFmtId="192" fontId="21" fillId="0" borderId="0" xfId="18639" applyFont="1" applyBorder="1" applyAlignment="1">
      <alignment horizontal="right"/>
    </xf>
    <xf numFmtId="38" fontId="127" fillId="62" borderId="84" xfId="18639" applyNumberFormat="1" applyFont="1" applyFill="1" applyBorder="1" applyAlignment="1">
      <alignment vertical="center"/>
    </xf>
    <xf numFmtId="38" fontId="131" fillId="0" borderId="40" xfId="18639" applyNumberFormat="1" applyFont="1" applyFill="1" applyBorder="1" applyAlignment="1" applyProtection="1">
      <alignment horizontal="center" vertical="center"/>
      <protection locked="0"/>
    </xf>
    <xf numFmtId="38" fontId="132" fillId="0" borderId="39" xfId="18639" applyNumberFormat="1" applyFont="1" applyFill="1" applyBorder="1" applyAlignment="1" applyProtection="1">
      <alignment horizontal="center"/>
      <protection locked="0"/>
    </xf>
    <xf numFmtId="192" fontId="106" fillId="0" borderId="39" xfId="18639" applyFont="1" applyBorder="1" applyAlignment="1">
      <alignment horizontal="center"/>
    </xf>
    <xf numFmtId="4" fontId="21" fillId="0" borderId="0" xfId="18639" applyNumberFormat="1" applyFont="1" applyFill="1"/>
    <xf numFmtId="192" fontId="133" fillId="0" borderId="34" xfId="18639" applyFont="1" applyBorder="1" applyAlignment="1">
      <alignment horizontal="center"/>
    </xf>
    <xf numFmtId="4" fontId="23" fillId="0" borderId="0" xfId="18639" applyNumberFormat="1" applyFont="1" applyFill="1" applyAlignment="1">
      <alignment horizontal="center"/>
    </xf>
    <xf numFmtId="4" fontId="127" fillId="0" borderId="34" xfId="18639" applyNumberFormat="1" applyFont="1" applyBorder="1" applyAlignment="1" applyProtection="1">
      <alignment vertical="center"/>
      <protection locked="0"/>
    </xf>
    <xf numFmtId="192" fontId="21" fillId="0" borderId="0" xfId="18639" applyFill="1"/>
    <xf numFmtId="198" fontId="21" fillId="0" borderId="0" xfId="18642" applyNumberFormat="1" applyFont="1" applyFill="1"/>
    <xf numFmtId="38" fontId="127" fillId="62" borderId="11" xfId="18639" applyNumberFormat="1" applyFont="1" applyFill="1" applyBorder="1" applyAlignment="1" applyProtection="1">
      <alignment vertical="center"/>
      <protection locked="0"/>
    </xf>
    <xf numFmtId="38" fontId="127" fillId="62" borderId="3" xfId="18640" applyNumberFormat="1" applyFont="1" applyFill="1" applyBorder="1" applyAlignment="1">
      <alignment vertical="center"/>
    </xf>
    <xf numFmtId="9" fontId="112" fillId="0" borderId="90" xfId="18639" applyNumberFormat="1" applyFont="1" applyBorder="1" applyAlignment="1">
      <alignment horizontal="center" vertical="center"/>
    </xf>
    <xf numFmtId="196" fontId="136" fillId="90" borderId="90" xfId="18639" applyNumberFormat="1" applyFont="1" applyFill="1" applyBorder="1" applyAlignment="1">
      <alignment horizontal="center" vertical="center"/>
    </xf>
    <xf numFmtId="1" fontId="137" fillId="90" borderId="91" xfId="18639" applyNumberFormat="1" applyFont="1" applyFill="1" applyBorder="1" applyAlignment="1">
      <alignment vertical="center"/>
    </xf>
    <xf numFmtId="199" fontId="129" fillId="90" borderId="0" xfId="18639" applyNumberFormat="1" applyFont="1" applyFill="1" applyBorder="1" applyAlignment="1" applyProtection="1">
      <alignment horizontal="left" vertical="center"/>
      <protection locked="0"/>
    </xf>
    <xf numFmtId="197" fontId="136" fillId="90" borderId="94" xfId="18639" applyNumberFormat="1" applyFont="1" applyFill="1" applyBorder="1" applyAlignment="1" applyProtection="1">
      <alignment vertical="center"/>
      <protection locked="0"/>
    </xf>
    <xf numFmtId="9" fontId="112" fillId="0" borderId="90" xfId="18639" applyNumberFormat="1" applyFont="1" applyBorder="1" applyAlignment="1">
      <alignment horizontal="right" vertical="center"/>
    </xf>
    <xf numFmtId="4" fontId="21" fillId="0" borderId="34" xfId="18639" applyNumberFormat="1" applyFont="1" applyFill="1" applyBorder="1"/>
    <xf numFmtId="198" fontId="21" fillId="91" borderId="33" xfId="18642" applyNumberFormat="1" applyFont="1" applyFill="1" applyBorder="1"/>
    <xf numFmtId="192" fontId="21" fillId="0" borderId="0" xfId="18639" applyFont="1" applyBorder="1"/>
    <xf numFmtId="170" fontId="21" fillId="0" borderId="0" xfId="18640" applyNumberFormat="1" applyFont="1" applyBorder="1"/>
    <xf numFmtId="170" fontId="21" fillId="0" borderId="0" xfId="18639" applyNumberFormat="1" applyBorder="1"/>
    <xf numFmtId="196" fontId="127" fillId="0" borderId="90" xfId="18639" applyNumberFormat="1" applyFont="1" applyFill="1" applyBorder="1" applyAlignment="1">
      <alignment horizontal="center" vertical="center"/>
    </xf>
    <xf numFmtId="38" fontId="127" fillId="0" borderId="0" xfId="18639" applyNumberFormat="1" applyFont="1" applyBorder="1" applyAlignment="1" applyProtection="1">
      <alignment horizontal="right" vertical="center"/>
      <protection locked="0"/>
    </xf>
    <xf numFmtId="1" fontId="127" fillId="0" borderId="0" xfId="18639" applyNumberFormat="1" applyFont="1" applyBorder="1" applyAlignment="1">
      <alignment vertical="center"/>
    </xf>
    <xf numFmtId="38" fontId="127" fillId="0" borderId="0" xfId="18639" applyNumberFormat="1" applyFont="1" applyBorder="1" applyAlignment="1">
      <alignment vertical="center"/>
    </xf>
    <xf numFmtId="38" fontId="127" fillId="0" borderId="0" xfId="18639" applyNumberFormat="1" applyFont="1" applyFill="1" applyBorder="1" applyAlignment="1" applyProtection="1">
      <alignment horizontal="right" vertical="center"/>
      <protection locked="0"/>
    </xf>
    <xf numFmtId="1" fontId="127" fillId="0" borderId="0" xfId="18639" applyNumberFormat="1" applyFont="1" applyBorder="1" applyAlignment="1" applyProtection="1">
      <alignment vertical="center"/>
      <protection locked="0"/>
    </xf>
    <xf numFmtId="38" fontId="127" fillId="0" borderId="0" xfId="18639" applyNumberFormat="1" applyFont="1" applyBorder="1" applyAlignment="1" applyProtection="1">
      <alignment vertical="center"/>
      <protection locked="0"/>
    </xf>
    <xf numFmtId="38" fontId="127" fillId="0" borderId="84" xfId="18639" applyNumberFormat="1" applyFont="1" applyBorder="1" applyAlignment="1" applyProtection="1">
      <alignment vertical="center"/>
      <protection locked="0"/>
    </xf>
    <xf numFmtId="194" fontId="127" fillId="0" borderId="0" xfId="18639" applyNumberFormat="1" applyFont="1" applyBorder="1" applyAlignment="1" applyProtection="1">
      <alignment vertical="center"/>
      <protection locked="0"/>
    </xf>
    <xf numFmtId="194" fontId="127" fillId="0" borderId="14" xfId="18639" applyNumberFormat="1" applyFont="1" applyBorder="1" applyAlignment="1" applyProtection="1">
      <alignment vertical="center"/>
      <protection locked="0"/>
    </xf>
    <xf numFmtId="38" fontId="127" fillId="56" borderId="8" xfId="18639" applyNumberFormat="1" applyFont="1" applyFill="1" applyBorder="1" applyAlignment="1">
      <alignment vertical="center"/>
    </xf>
    <xf numFmtId="192" fontId="127" fillId="0" borderId="0" xfId="18639" applyFont="1" applyBorder="1" applyAlignment="1">
      <alignment vertical="center"/>
    </xf>
    <xf numFmtId="38" fontId="127" fillId="0" borderId="0" xfId="18639" applyNumberFormat="1" applyFont="1" applyFill="1" applyBorder="1" applyAlignment="1">
      <alignment vertical="center"/>
    </xf>
    <xf numFmtId="38" fontId="127" fillId="0" borderId="0" xfId="18640" applyNumberFormat="1" applyFont="1" applyFill="1" applyBorder="1" applyAlignment="1">
      <alignment vertical="center"/>
    </xf>
    <xf numFmtId="1" fontId="127" fillId="0" borderId="0" xfId="18639" applyNumberFormat="1" applyFont="1" applyFill="1" applyBorder="1" applyAlignment="1">
      <alignment vertical="center"/>
    </xf>
    <xf numFmtId="38" fontId="127" fillId="56" borderId="0" xfId="18639" applyNumberFormat="1" applyFont="1" applyFill="1" applyBorder="1" applyAlignment="1" applyProtection="1">
      <alignment horizontal="right" vertical="center"/>
      <protection locked="0"/>
    </xf>
    <xf numFmtId="193" fontId="127" fillId="0" borderId="0" xfId="18639" applyNumberFormat="1" applyFont="1" applyFill="1" applyBorder="1" applyAlignment="1" applyProtection="1">
      <alignment horizontal="right" vertical="center"/>
      <protection locked="0"/>
    </xf>
    <xf numFmtId="193" fontId="127" fillId="0" borderId="0" xfId="18639" applyNumberFormat="1" applyFont="1" applyBorder="1" applyAlignment="1">
      <alignment vertical="center"/>
    </xf>
    <xf numFmtId="38" fontId="127" fillId="0" borderId="84" xfId="18639" applyNumberFormat="1" applyFont="1" applyFill="1" applyBorder="1" applyAlignment="1" applyProtection="1">
      <alignment horizontal="right" vertical="center"/>
      <protection locked="0"/>
    </xf>
    <xf numFmtId="196" fontId="127" fillId="0" borderId="90" xfId="18639" applyNumberFormat="1" applyFont="1" applyFill="1" applyBorder="1" applyAlignment="1" applyProtection="1">
      <alignment horizontal="center" vertical="center"/>
      <protection locked="0"/>
    </xf>
    <xf numFmtId="38" fontId="127" fillId="0" borderId="8" xfId="18639" applyNumberFormat="1" applyFont="1" applyFill="1" applyBorder="1" applyAlignment="1" applyProtection="1">
      <alignment vertical="center"/>
      <protection locked="0"/>
    </xf>
    <xf numFmtId="197" fontId="127" fillId="0" borderId="9" xfId="18639" applyNumberFormat="1" applyFont="1" applyFill="1" applyBorder="1" applyAlignment="1" applyProtection="1">
      <alignment vertical="center"/>
      <protection locked="0"/>
    </xf>
    <xf numFmtId="0" fontId="21" fillId="0" borderId="0" xfId="18644" applyNumberFormat="1" applyFont="1" applyFill="1"/>
    <xf numFmtId="10" fontId="21" fillId="0" borderId="0" xfId="18642" applyNumberFormat="1" applyFont="1" applyFill="1"/>
    <xf numFmtId="200" fontId="127" fillId="0" borderId="0" xfId="18639" applyNumberFormat="1" applyFont="1" applyBorder="1" applyAlignment="1" applyProtection="1">
      <alignment vertical="center"/>
      <protection locked="0"/>
    </xf>
    <xf numFmtId="192" fontId="21" fillId="0" borderId="0" xfId="18639" applyNumberFormat="1" applyBorder="1"/>
    <xf numFmtId="192" fontId="21" fillId="0" borderId="0" xfId="18639" applyNumberFormat="1" applyFont="1" applyBorder="1"/>
    <xf numFmtId="192" fontId="21" fillId="0" borderId="0" xfId="18639" applyNumberFormat="1" applyFont="1" applyBorder="1" applyAlignment="1">
      <alignment horizontal="left"/>
    </xf>
    <xf numFmtId="192" fontId="21" fillId="0" borderId="0" xfId="18640" applyNumberFormat="1" applyFont="1" applyBorder="1" applyAlignment="1">
      <alignment horizontal="left"/>
    </xf>
    <xf numFmtId="170" fontId="42" fillId="0" borderId="0" xfId="18640" applyNumberFormat="1" applyFont="1"/>
    <xf numFmtId="38" fontId="21" fillId="0" borderId="0" xfId="18639" applyNumberFormat="1"/>
    <xf numFmtId="43" fontId="21" fillId="0" borderId="0" xfId="18640" applyFont="1"/>
    <xf numFmtId="194" fontId="127" fillId="0" borderId="9" xfId="18639" applyNumberFormat="1" applyFont="1" applyBorder="1" applyAlignment="1" applyProtection="1">
      <alignment vertical="center"/>
      <protection locked="0"/>
    </xf>
    <xf numFmtId="192" fontId="21" fillId="0" borderId="0" xfId="18639" applyFill="1" applyBorder="1"/>
    <xf numFmtId="170" fontId="21" fillId="0" borderId="0" xfId="18640" applyNumberFormat="1" applyFont="1" applyFill="1" applyBorder="1"/>
    <xf numFmtId="43" fontId="21" fillId="0" borderId="0" xfId="18640" applyFont="1" applyFill="1" applyBorder="1"/>
    <xf numFmtId="193" fontId="127" fillId="0" borderId="84" xfId="18639" applyNumberFormat="1" applyFont="1" applyBorder="1" applyAlignment="1">
      <alignment vertical="center"/>
    </xf>
    <xf numFmtId="196" fontId="127" fillId="0" borderId="11" xfId="18639" applyNumberFormat="1" applyFont="1" applyFill="1" applyBorder="1" applyAlignment="1" applyProtection="1">
      <alignment horizontal="center" vertical="center"/>
      <protection locked="0"/>
    </xf>
    <xf numFmtId="38" fontId="127" fillId="92" borderId="0" xfId="18639" applyNumberFormat="1" applyFont="1" applyFill="1" applyBorder="1" applyAlignment="1" applyProtection="1">
      <alignment horizontal="right" vertical="center"/>
      <protection locked="0"/>
    </xf>
    <xf numFmtId="193" fontId="127" fillId="0" borderId="0" xfId="18639" applyNumberFormat="1" applyFont="1" applyBorder="1" applyAlignment="1" applyProtection="1">
      <alignment vertical="center"/>
      <protection locked="0"/>
    </xf>
    <xf numFmtId="192" fontId="127" fillId="0" borderId="8" xfId="18639" applyFont="1" applyBorder="1" applyAlignment="1">
      <alignment vertical="center"/>
    </xf>
    <xf numFmtId="196" fontId="127" fillId="0" borderId="94" xfId="18639" applyNumberFormat="1" applyFont="1" applyFill="1" applyBorder="1" applyAlignment="1" applyProtection="1">
      <alignment horizontal="center" vertical="center"/>
      <protection locked="0"/>
    </xf>
    <xf numFmtId="196" fontId="89" fillId="0" borderId="0" xfId="18639" applyNumberFormat="1" applyFont="1" applyFill="1" applyBorder="1" applyAlignment="1">
      <alignment horizontal="center" vertical="center"/>
    </xf>
    <xf numFmtId="196" fontId="89" fillId="0" borderId="94" xfId="18639" applyNumberFormat="1" applyFont="1" applyFill="1" applyBorder="1" applyAlignment="1">
      <alignment horizontal="center" vertical="center"/>
    </xf>
    <xf numFmtId="196" fontId="127" fillId="0" borderId="83" xfId="18639" applyNumberFormat="1" applyFont="1" applyFill="1" applyBorder="1" applyAlignment="1" applyProtection="1">
      <alignment horizontal="center" vertical="center"/>
      <protection locked="0"/>
    </xf>
    <xf numFmtId="197" fontId="127" fillId="0" borderId="0" xfId="18639" applyNumberFormat="1" applyFont="1" applyFill="1" applyBorder="1" applyAlignment="1" applyProtection="1">
      <alignment horizontal="center" vertical="center"/>
      <protection locked="0"/>
    </xf>
    <xf numFmtId="4" fontId="127" fillId="0" borderId="32" xfId="18639" applyNumberFormat="1" applyFont="1" applyBorder="1" applyAlignment="1" applyProtection="1">
      <alignment vertical="center"/>
      <protection locked="0"/>
    </xf>
    <xf numFmtId="4" fontId="127" fillId="0" borderId="86" xfId="18639" applyNumberFormat="1" applyFont="1" applyBorder="1" applyAlignment="1" applyProtection="1">
      <alignment vertical="center"/>
      <protection locked="0"/>
    </xf>
    <xf numFmtId="4" fontId="15" fillId="0" borderId="86" xfId="18639" applyNumberFormat="1" applyFont="1" applyBorder="1" applyAlignment="1"/>
    <xf numFmtId="4" fontId="15" fillId="0" borderId="62" xfId="18639" applyNumberFormat="1" applyFont="1" applyBorder="1" applyAlignment="1">
      <alignment vertical="center"/>
    </xf>
    <xf numFmtId="4" fontId="21" fillId="0" borderId="32" xfId="18639" applyNumberFormat="1" applyFont="1" applyFill="1" applyBorder="1"/>
    <xf numFmtId="38" fontId="21" fillId="3" borderId="86" xfId="18639" applyNumberFormat="1" applyFill="1" applyBorder="1"/>
    <xf numFmtId="43" fontId="21" fillId="88" borderId="86" xfId="18640" applyFont="1" applyFill="1" applyBorder="1"/>
    <xf numFmtId="198" fontId="21" fillId="88" borderId="86" xfId="18642" applyNumberFormat="1" applyFont="1" applyFill="1" applyBorder="1"/>
    <xf numFmtId="198" fontId="21" fillId="88" borderId="62" xfId="18642" applyNumberFormat="1" applyFont="1" applyFill="1" applyBorder="1"/>
    <xf numFmtId="1" fontId="125" fillId="93" borderId="5" xfId="18639" applyNumberFormat="1" applyFont="1" applyFill="1" applyBorder="1" applyAlignment="1" applyProtection="1">
      <alignment horizontal="left" vertical="center"/>
      <protection locked="0"/>
    </xf>
    <xf numFmtId="1" fontId="127" fillId="93" borderId="82" xfId="18639" applyNumberFormat="1" applyFont="1" applyFill="1" applyBorder="1" applyAlignment="1">
      <alignment vertical="center"/>
    </xf>
    <xf numFmtId="3" fontId="127" fillId="93" borderId="82" xfId="18639" applyNumberFormat="1" applyFont="1" applyFill="1" applyBorder="1" applyAlignment="1" applyProtection="1">
      <alignment vertical="center"/>
      <protection locked="0"/>
    </xf>
    <xf numFmtId="38" fontId="127" fillId="93" borderId="82" xfId="18639" applyNumberFormat="1" applyFont="1" applyFill="1" applyBorder="1" applyAlignment="1">
      <alignment vertical="center"/>
    </xf>
    <xf numFmtId="38" fontId="127" fillId="93" borderId="82" xfId="18639" applyNumberFormat="1" applyFont="1" applyFill="1" applyBorder="1" applyAlignment="1" applyProtection="1">
      <alignment vertical="center"/>
      <protection locked="0"/>
    </xf>
    <xf numFmtId="1" fontId="127" fillId="93" borderId="82" xfId="18639" applyNumberFormat="1" applyFont="1" applyFill="1" applyBorder="1" applyAlignment="1" applyProtection="1">
      <alignment vertical="center"/>
      <protection locked="0"/>
    </xf>
    <xf numFmtId="38" fontId="127" fillId="93" borderId="82" xfId="18639" applyNumberFormat="1" applyFont="1" applyFill="1" applyBorder="1" applyAlignment="1" applyProtection="1">
      <alignment horizontal="right" vertical="center"/>
      <protection locked="0"/>
    </xf>
    <xf numFmtId="193" fontId="127" fillId="93" borderId="82" xfId="18639" applyNumberFormat="1" applyFont="1" applyFill="1" applyBorder="1" applyAlignment="1" applyProtection="1">
      <alignment horizontal="center" vertical="center"/>
      <protection locked="0"/>
    </xf>
    <xf numFmtId="193" fontId="127" fillId="93" borderId="82" xfId="18639" applyNumberFormat="1" applyFont="1" applyFill="1" applyBorder="1" applyAlignment="1" applyProtection="1">
      <alignment vertical="center"/>
      <protection locked="0"/>
    </xf>
    <xf numFmtId="192" fontId="127" fillId="93" borderId="82" xfId="18639" applyFont="1" applyFill="1" applyBorder="1" applyAlignment="1">
      <alignment vertical="center"/>
    </xf>
    <xf numFmtId="192" fontId="127" fillId="93" borderId="83" xfId="18639" applyFont="1" applyFill="1" applyBorder="1" applyAlignment="1">
      <alignment vertical="center"/>
    </xf>
    <xf numFmtId="192" fontId="127" fillId="0" borderId="14" xfId="18639" applyFont="1" applyFill="1" applyBorder="1" applyAlignment="1">
      <alignment vertical="center"/>
    </xf>
    <xf numFmtId="38" fontId="127" fillId="93" borderId="5" xfId="18639" applyNumberFormat="1" applyFont="1" applyFill="1" applyBorder="1" applyAlignment="1" applyProtection="1">
      <alignment horizontal="right" vertical="center"/>
      <protection locked="0"/>
    </xf>
    <xf numFmtId="193" fontId="127" fillId="93" borderId="82" xfId="18639" applyNumberFormat="1" applyFont="1" applyFill="1" applyBorder="1" applyAlignment="1" applyProtection="1">
      <alignment horizontal="right" vertical="center"/>
      <protection locked="0"/>
    </xf>
    <xf numFmtId="193" fontId="127" fillId="93" borderId="82" xfId="18639" applyNumberFormat="1" applyFont="1" applyFill="1" applyBorder="1" applyAlignment="1">
      <alignment vertical="center"/>
    </xf>
    <xf numFmtId="194" fontId="127" fillId="93" borderId="82" xfId="18639" applyNumberFormat="1" applyFont="1" applyFill="1" applyBorder="1" applyAlignment="1" applyProtection="1">
      <alignment vertical="center"/>
      <protection locked="0"/>
    </xf>
    <xf numFmtId="194" fontId="127" fillId="93" borderId="83" xfId="18639" applyNumberFormat="1" applyFont="1" applyFill="1" applyBorder="1" applyAlignment="1" applyProtection="1">
      <alignment vertical="center"/>
      <protection locked="0"/>
    </xf>
    <xf numFmtId="194" fontId="127" fillId="0" borderId="0" xfId="18639" applyNumberFormat="1" applyFont="1" applyFill="1" applyBorder="1" applyAlignment="1" applyProtection="1">
      <alignment vertical="center"/>
      <protection locked="0"/>
    </xf>
    <xf numFmtId="197" fontId="127" fillId="93" borderId="5" xfId="18639" applyNumberFormat="1" applyFont="1" applyFill="1" applyBorder="1" applyAlignment="1" applyProtection="1">
      <alignment horizontal="center" vertical="center"/>
      <protection locked="0"/>
    </xf>
    <xf numFmtId="197" fontId="127" fillId="93" borderId="83" xfId="18639" applyNumberFormat="1" applyFont="1" applyFill="1" applyBorder="1" applyAlignment="1" applyProtection="1">
      <alignment horizontal="center" vertical="center"/>
      <protection locked="0"/>
    </xf>
    <xf numFmtId="197" fontId="125" fillId="0" borderId="0" xfId="18639" applyNumberFormat="1" applyFont="1" applyFill="1" applyBorder="1" applyAlignment="1">
      <alignment vertical="center"/>
    </xf>
    <xf numFmtId="192" fontId="21" fillId="0" borderId="0" xfId="18639" applyFont="1" applyFill="1" applyBorder="1"/>
    <xf numFmtId="14" fontId="21" fillId="0" borderId="0" xfId="18639" applyNumberFormat="1"/>
    <xf numFmtId="1" fontId="125" fillId="93" borderId="10" xfId="18639" applyNumberFormat="1" applyFont="1" applyFill="1" applyBorder="1" applyAlignment="1" applyProtection="1">
      <alignment horizontal="left" vertical="center"/>
      <protection locked="0"/>
    </xf>
    <xf numFmtId="1" fontId="125" fillId="93" borderId="3" xfId="18639" applyNumberFormat="1" applyFont="1" applyFill="1" applyBorder="1" applyAlignment="1">
      <alignment vertical="center"/>
    </xf>
    <xf numFmtId="3" fontId="125" fillId="93" borderId="3" xfId="18639" applyNumberFormat="1" applyFont="1" applyFill="1" applyBorder="1" applyAlignment="1">
      <alignment vertical="center"/>
    </xf>
    <xf numFmtId="38" fontId="125" fillId="93" borderId="3" xfId="18639" applyNumberFormat="1" applyFont="1" applyFill="1" applyBorder="1" applyAlignment="1" applyProtection="1">
      <alignment horizontal="right" vertical="center"/>
      <protection locked="0"/>
    </xf>
    <xf numFmtId="193" fontId="125" fillId="93" borderId="3" xfId="18639" applyNumberFormat="1" applyFont="1" applyFill="1" applyBorder="1" applyAlignment="1" applyProtection="1">
      <alignment horizontal="right" vertical="center"/>
      <protection locked="0"/>
    </xf>
    <xf numFmtId="193" fontId="125" fillId="93" borderId="3" xfId="18639" applyNumberFormat="1" applyFont="1" applyFill="1" applyBorder="1" applyAlignment="1" applyProtection="1">
      <alignment horizontal="center" vertical="center"/>
      <protection locked="0"/>
    </xf>
    <xf numFmtId="193" fontId="125" fillId="93" borderId="3" xfId="18639" applyNumberFormat="1" applyFont="1" applyFill="1" applyBorder="1" applyAlignment="1" applyProtection="1">
      <alignment vertical="center"/>
      <protection locked="0"/>
    </xf>
    <xf numFmtId="192" fontId="125" fillId="93" borderId="3" xfId="18639" applyFont="1" applyFill="1" applyBorder="1" applyAlignment="1">
      <alignment vertical="center"/>
    </xf>
    <xf numFmtId="192" fontId="125" fillId="93" borderId="11" xfId="18639" applyFont="1" applyFill="1" applyBorder="1" applyAlignment="1">
      <alignment vertical="center"/>
    </xf>
    <xf numFmtId="192" fontId="125" fillId="0" borderId="44" xfId="18639" applyFont="1" applyFill="1" applyBorder="1" applyAlignment="1">
      <alignment vertical="center"/>
    </xf>
    <xf numFmtId="193" fontId="125" fillId="93" borderId="11" xfId="18639" applyNumberFormat="1" applyFont="1" applyFill="1" applyBorder="1" applyAlignment="1" applyProtection="1">
      <alignment vertical="center"/>
      <protection locked="0"/>
    </xf>
    <xf numFmtId="193" fontId="125" fillId="0" borderId="0" xfId="18639" applyNumberFormat="1" applyFont="1" applyFill="1" applyBorder="1" applyAlignment="1" applyProtection="1">
      <alignment vertical="center"/>
      <protection locked="0"/>
    </xf>
    <xf numFmtId="193" fontId="125" fillId="93" borderId="10" xfId="18639" applyNumberFormat="1" applyFont="1" applyFill="1" applyBorder="1" applyAlignment="1" applyProtection="1">
      <alignment vertical="center"/>
      <protection locked="0"/>
    </xf>
    <xf numFmtId="197" fontId="125" fillId="93" borderId="11" xfId="18639" applyNumberFormat="1" applyFont="1" applyFill="1" applyBorder="1" applyAlignment="1">
      <alignment vertical="center"/>
    </xf>
    <xf numFmtId="1" fontId="127" fillId="0" borderId="0" xfId="18639" applyNumberFormat="1" applyFont="1" applyAlignment="1">
      <alignment vertical="center"/>
    </xf>
    <xf numFmtId="192" fontId="21" fillId="0" borderId="0" xfId="18639" applyFont="1"/>
    <xf numFmtId="1" fontId="128" fillId="0" borderId="0" xfId="18639" applyNumberFormat="1" applyFont="1" applyAlignment="1" applyProtection="1">
      <alignment horizontal="left" vertical="center"/>
      <protection locked="0"/>
    </xf>
    <xf numFmtId="1" fontId="128" fillId="0" borderId="0" xfId="18639" applyNumberFormat="1" applyFont="1" applyAlignment="1">
      <alignment vertical="center"/>
    </xf>
    <xf numFmtId="3" fontId="128" fillId="0" borderId="0" xfId="18639" applyNumberFormat="1" applyFont="1" applyAlignment="1">
      <alignment vertical="center"/>
    </xf>
    <xf numFmtId="38" fontId="128" fillId="0" borderId="0" xfId="18639" applyNumberFormat="1" applyFont="1" applyAlignment="1">
      <alignment vertical="center"/>
    </xf>
    <xf numFmtId="1" fontId="128" fillId="0" borderId="0" xfId="18639" applyNumberFormat="1" applyFont="1" applyAlignment="1" applyProtection="1">
      <alignment vertical="center"/>
      <protection locked="0"/>
    </xf>
    <xf numFmtId="193" fontId="128" fillId="0" borderId="0" xfId="18639" applyNumberFormat="1" applyFont="1" applyFill="1" applyAlignment="1" applyProtection="1">
      <alignment vertical="center"/>
      <protection locked="0"/>
    </xf>
    <xf numFmtId="193" fontId="128" fillId="0" borderId="0" xfId="18639" applyNumberFormat="1" applyFont="1" applyFill="1" applyAlignment="1" applyProtection="1">
      <alignment horizontal="center" vertical="center"/>
      <protection locked="0"/>
    </xf>
    <xf numFmtId="193" fontId="127" fillId="0" borderId="0" xfId="18639" applyNumberFormat="1" applyFont="1" applyFill="1" applyAlignment="1">
      <alignment vertical="center"/>
    </xf>
    <xf numFmtId="193" fontId="127" fillId="0" borderId="0" xfId="18639" applyNumberFormat="1" applyFont="1" applyFill="1" applyAlignment="1" applyProtection="1">
      <alignment vertical="center"/>
      <protection locked="0"/>
    </xf>
    <xf numFmtId="193" fontId="127" fillId="0" borderId="0" xfId="18639" applyNumberFormat="1" applyFont="1" applyAlignment="1" applyProtection="1">
      <alignment vertical="center"/>
      <protection locked="0"/>
    </xf>
    <xf numFmtId="192" fontId="21" fillId="0" borderId="0" xfId="18639" applyAlignment="1">
      <alignment horizontal="center"/>
    </xf>
    <xf numFmtId="10" fontId="127" fillId="0" borderId="82" xfId="18639" applyNumberFormat="1" applyFont="1" applyBorder="1" applyAlignment="1" applyProtection="1">
      <protection locked="0"/>
    </xf>
    <xf numFmtId="192" fontId="125" fillId="0" borderId="82" xfId="18639" applyFont="1" applyBorder="1" applyAlignment="1">
      <alignment horizontal="center"/>
    </xf>
    <xf numFmtId="192" fontId="127" fillId="0" borderId="82" xfId="18639" applyFont="1" applyBorder="1" applyAlignment="1">
      <alignment horizontal="right"/>
    </xf>
    <xf numFmtId="192" fontId="98" fillId="0" borderId="83" xfId="18641" applyBorder="1" applyAlignment="1"/>
    <xf numFmtId="193" fontId="125" fillId="0" borderId="5" xfId="18639" applyNumberFormat="1" applyFont="1" applyBorder="1" applyAlignment="1">
      <alignment vertical="center"/>
    </xf>
    <xf numFmtId="192" fontId="138" fillId="0" borderId="82" xfId="18641" applyFont="1" applyBorder="1" applyAlignment="1"/>
    <xf numFmtId="1" fontId="127" fillId="0" borderId="83" xfId="18639" applyNumberFormat="1" applyFont="1" applyBorder="1" applyAlignment="1">
      <alignment vertical="center"/>
    </xf>
    <xf numFmtId="193" fontId="127" fillId="0" borderId="0" xfId="18639" applyNumberFormat="1" applyFont="1" applyAlignment="1" applyProtection="1">
      <alignment horizontal="right" vertical="center"/>
      <protection locked="0"/>
    </xf>
    <xf numFmtId="5" fontId="42" fillId="0" borderId="0" xfId="18641" applyNumberFormat="1" applyFont="1" applyFill="1" applyBorder="1" applyAlignment="1"/>
    <xf numFmtId="5" fontId="42" fillId="0" borderId="0" xfId="18641" applyNumberFormat="1" applyFont="1" applyBorder="1" applyAlignment="1"/>
    <xf numFmtId="9" fontId="112" fillId="93" borderId="8" xfId="18639" applyNumberFormat="1" applyFont="1" applyFill="1" applyBorder="1" applyAlignment="1">
      <alignment vertical="center"/>
    </xf>
    <xf numFmtId="192" fontId="128" fillId="93" borderId="0" xfId="18639" applyFont="1" applyFill="1" applyBorder="1" applyAlignment="1">
      <alignment vertical="center"/>
    </xf>
    <xf numFmtId="1" fontId="127" fillId="93" borderId="0" xfId="18639" applyNumberFormat="1" applyFont="1" applyFill="1" applyBorder="1" applyAlignment="1">
      <alignment horizontal="center" vertical="center"/>
    </xf>
    <xf numFmtId="192" fontId="21" fillId="93" borderId="0" xfId="18639" applyFill="1" applyBorder="1"/>
    <xf numFmtId="10" fontId="128" fillId="93" borderId="0" xfId="18639" applyNumberFormat="1" applyFont="1" applyFill="1" applyBorder="1" applyAlignment="1" applyProtection="1">
      <alignment horizontal="center"/>
      <protection locked="0"/>
    </xf>
    <xf numFmtId="10" fontId="128" fillId="93" borderId="0" xfId="18639" applyNumberFormat="1" applyFont="1" applyFill="1" applyBorder="1" applyAlignment="1" applyProtection="1">
      <alignment horizontal="right"/>
      <protection locked="0"/>
    </xf>
    <xf numFmtId="9" fontId="112" fillId="93" borderId="0" xfId="18639" applyNumberFormat="1" applyFont="1" applyFill="1" applyBorder="1" applyAlignment="1">
      <alignment horizontal="right" vertical="center"/>
    </xf>
    <xf numFmtId="10" fontId="128" fillId="93" borderId="0" xfId="18639" applyNumberFormat="1" applyFont="1" applyFill="1" applyBorder="1" applyAlignment="1" applyProtection="1">
      <protection locked="0"/>
    </xf>
    <xf numFmtId="192" fontId="21" fillId="0" borderId="9" xfId="18639" applyBorder="1"/>
    <xf numFmtId="199" fontId="129" fillId="0" borderId="8" xfId="18639" applyNumberFormat="1" applyFont="1" applyFill="1" applyBorder="1" applyAlignment="1" applyProtection="1">
      <alignment horizontal="right" vertical="center"/>
      <protection locked="0"/>
    </xf>
    <xf numFmtId="192" fontId="139" fillId="0" borderId="9" xfId="18639" applyFont="1" applyBorder="1" applyAlignment="1">
      <alignment horizontal="left" wrapText="1"/>
    </xf>
    <xf numFmtId="10" fontId="42" fillId="0" borderId="0" xfId="18642" applyNumberFormat="1" applyFont="1" applyFill="1" applyBorder="1" applyAlignment="1"/>
    <xf numFmtId="10" fontId="128" fillId="0" borderId="0" xfId="18639" applyNumberFormat="1" applyFont="1" applyFill="1" applyBorder="1" applyAlignment="1">
      <alignment horizontal="center" vertical="center"/>
    </xf>
    <xf numFmtId="199" fontId="129" fillId="0" borderId="0" xfId="18639" applyNumberFormat="1" applyFont="1" applyFill="1" applyBorder="1" applyAlignment="1" applyProtection="1">
      <alignment horizontal="right" vertical="center"/>
      <protection locked="0"/>
    </xf>
    <xf numFmtId="192" fontId="112" fillId="90" borderId="8" xfId="18639" applyFont="1" applyFill="1" applyBorder="1" applyAlignment="1">
      <alignment horizontal="center" vertical="center"/>
    </xf>
    <xf numFmtId="192" fontId="128" fillId="90" borderId="0" xfId="18639" applyFont="1" applyFill="1" applyBorder="1" applyAlignment="1">
      <alignment vertical="center"/>
    </xf>
    <xf numFmtId="1" fontId="127" fillId="90" borderId="0" xfId="18639" applyNumberFormat="1" applyFont="1" applyFill="1" applyBorder="1" applyAlignment="1">
      <alignment horizontal="center" vertical="center"/>
    </xf>
    <xf numFmtId="10" fontId="127" fillId="90" borderId="0" xfId="18639" applyNumberFormat="1" applyFont="1" applyFill="1" applyBorder="1" applyAlignment="1" applyProtection="1">
      <alignment horizontal="center"/>
      <protection locked="0"/>
    </xf>
    <xf numFmtId="192" fontId="21" fillId="90" borderId="0" xfId="18639" applyFill="1" applyBorder="1"/>
    <xf numFmtId="10" fontId="127" fillId="90" borderId="0" xfId="18639" applyNumberFormat="1" applyFont="1" applyFill="1" applyBorder="1" applyAlignment="1" applyProtection="1">
      <alignment horizontal="right"/>
      <protection locked="0"/>
    </xf>
    <xf numFmtId="10" fontId="127" fillId="90" borderId="0" xfId="18639" applyNumberFormat="1" applyFont="1" applyFill="1" applyBorder="1" applyAlignment="1">
      <alignment horizontal="center" vertical="center"/>
    </xf>
    <xf numFmtId="10" fontId="127" fillId="0" borderId="0" xfId="18639" applyNumberFormat="1" applyFont="1" applyBorder="1" applyAlignment="1">
      <alignment horizontal="center" vertical="center"/>
    </xf>
    <xf numFmtId="10" fontId="127" fillId="90" borderId="0" xfId="18639" applyNumberFormat="1" applyFont="1" applyFill="1" applyBorder="1" applyAlignment="1" applyProtection="1">
      <alignment horizontal="right" vertical="center"/>
      <protection locked="0"/>
    </xf>
    <xf numFmtId="10" fontId="127" fillId="90" borderId="0" xfId="18639" applyNumberFormat="1" applyFont="1" applyFill="1" applyBorder="1" applyAlignment="1" applyProtection="1">
      <protection locked="0"/>
    </xf>
    <xf numFmtId="10" fontId="127" fillId="93" borderId="0" xfId="18639" applyNumberFormat="1" applyFont="1" applyFill="1" applyBorder="1" applyAlignment="1" applyProtection="1">
      <alignment horizontal="center"/>
      <protection locked="0"/>
    </xf>
    <xf numFmtId="10" fontId="128" fillId="0" borderId="0" xfId="18639" applyNumberFormat="1" applyFont="1" applyBorder="1" applyAlignment="1">
      <alignment horizontal="center" vertical="center"/>
    </xf>
    <xf numFmtId="192" fontId="22" fillId="0" borderId="9" xfId="18639" applyFont="1" applyBorder="1"/>
    <xf numFmtId="199" fontId="140" fillId="0" borderId="8" xfId="18639" applyNumberFormat="1" applyFont="1" applyFill="1" applyBorder="1" applyAlignment="1" applyProtection="1">
      <alignment horizontal="right" vertical="center"/>
      <protection locked="0"/>
    </xf>
    <xf numFmtId="10" fontId="128" fillId="0" borderId="0" xfId="18639" applyNumberFormat="1" applyFont="1" applyBorder="1" applyAlignment="1">
      <alignment vertical="center"/>
    </xf>
    <xf numFmtId="10" fontId="128" fillId="0" borderId="0" xfId="18639" applyNumberFormat="1" applyFont="1" applyBorder="1" applyAlignment="1">
      <alignment horizontal="right" vertical="center"/>
    </xf>
    <xf numFmtId="10" fontId="21" fillId="0" borderId="0" xfId="18642" applyNumberFormat="1" applyFont="1"/>
    <xf numFmtId="10" fontId="128" fillId="93" borderId="86" xfId="18639" applyNumberFormat="1" applyFont="1" applyFill="1" applyBorder="1" applyAlignment="1" applyProtection="1">
      <protection locked="0"/>
    </xf>
    <xf numFmtId="192" fontId="138" fillId="0" borderId="0" xfId="18639" applyFont="1" applyBorder="1" applyAlignment="1">
      <alignment wrapText="1"/>
    </xf>
    <xf numFmtId="192" fontId="21" fillId="0" borderId="8" xfId="18639" applyBorder="1" applyAlignment="1"/>
    <xf numFmtId="3" fontId="127" fillId="0" borderId="0" xfId="18639" applyNumberFormat="1" applyFont="1" applyFill="1" applyBorder="1" applyAlignment="1">
      <alignment horizontal="center" vertical="center"/>
    </xf>
    <xf numFmtId="3" fontId="127" fillId="0" borderId="95" xfId="18639" applyNumberFormat="1" applyFont="1" applyFill="1" applyBorder="1" applyAlignment="1">
      <alignment horizontal="right" vertical="top"/>
    </xf>
    <xf numFmtId="199" fontId="129" fillId="0" borderId="95" xfId="18639" applyNumberFormat="1" applyFont="1" applyFill="1" applyBorder="1" applyAlignment="1" applyProtection="1">
      <alignment horizontal="left" vertical="center"/>
      <protection locked="0"/>
    </xf>
    <xf numFmtId="10" fontId="128" fillId="0" borderId="95" xfId="18639" applyNumberFormat="1" applyFont="1" applyBorder="1" applyAlignment="1">
      <alignment horizontal="center" vertical="top"/>
    </xf>
    <xf numFmtId="10" fontId="128" fillId="0" borderId="95" xfId="18639" applyNumberFormat="1" applyFont="1" applyBorder="1" applyAlignment="1">
      <alignment horizontal="right" vertical="top"/>
    </xf>
    <xf numFmtId="10" fontId="128" fillId="0" borderId="0" xfId="18639" applyNumberFormat="1" applyFont="1" applyBorder="1" applyAlignment="1">
      <alignment horizontal="center" vertical="top"/>
    </xf>
    <xf numFmtId="10" fontId="128" fillId="0" borderId="95" xfId="18639" applyNumberFormat="1" applyFont="1" applyBorder="1" applyAlignment="1">
      <alignment vertical="top"/>
    </xf>
    <xf numFmtId="199" fontId="129" fillId="0" borderId="9" xfId="18639" applyNumberFormat="1" applyFont="1" applyFill="1" applyBorder="1" applyAlignment="1" applyProtection="1">
      <alignment horizontal="left" vertical="center"/>
      <protection locked="0"/>
    </xf>
    <xf numFmtId="193" fontId="125" fillId="0" borderId="10" xfId="18639" applyNumberFormat="1" applyFont="1" applyBorder="1" applyAlignment="1">
      <alignment vertical="center"/>
    </xf>
    <xf numFmtId="192" fontId="138" fillId="0" borderId="3" xfId="18641" applyFont="1" applyBorder="1" applyAlignment="1"/>
    <xf numFmtId="192" fontId="128" fillId="0" borderId="3" xfId="18639" applyFont="1" applyBorder="1" applyAlignment="1">
      <alignment vertical="center"/>
    </xf>
    <xf numFmtId="192" fontId="128" fillId="0" borderId="11" xfId="18639" applyFont="1" applyBorder="1" applyAlignment="1">
      <alignment vertical="center"/>
    </xf>
    <xf numFmtId="10" fontId="141" fillId="0" borderId="0" xfId="18639" applyNumberFormat="1" applyFont="1" applyBorder="1" applyAlignment="1">
      <alignment horizontal="right" vertical="center"/>
    </xf>
    <xf numFmtId="192" fontId="139" fillId="0" borderId="9" xfId="18639" applyFont="1" applyBorder="1" applyAlignment="1">
      <alignment horizontal="left"/>
    </xf>
    <xf numFmtId="193" fontId="142" fillId="0" borderId="0" xfId="18639" applyNumberFormat="1" applyFont="1"/>
    <xf numFmtId="193" fontId="125" fillId="0" borderId="0" xfId="18639" applyNumberFormat="1" applyFont="1" applyBorder="1" applyAlignment="1">
      <alignment vertical="center"/>
    </xf>
    <xf numFmtId="192" fontId="98" fillId="0" borderId="9" xfId="18641" applyBorder="1" applyAlignment="1">
      <alignment horizontal="left" wrapText="1"/>
    </xf>
    <xf numFmtId="200" fontId="118" fillId="0" borderId="0" xfId="18639" applyNumberFormat="1" applyFont="1" applyBorder="1"/>
    <xf numFmtId="200" fontId="118" fillId="0" borderId="0" xfId="18639" applyNumberFormat="1" applyFont="1" applyBorder="1" applyAlignment="1" applyProtection="1">
      <alignment horizontal="center"/>
      <protection locked="0"/>
    </xf>
    <xf numFmtId="192" fontId="98" fillId="0" borderId="9" xfId="18641" applyBorder="1" applyAlignment="1">
      <alignment wrapText="1"/>
    </xf>
    <xf numFmtId="192" fontId="118" fillId="0" borderId="0" xfId="18639" applyNumberFormat="1" applyFont="1" applyBorder="1" applyAlignment="1" applyProtection="1">
      <alignment horizontal="center"/>
      <protection locked="0"/>
    </xf>
    <xf numFmtId="192" fontId="21" fillId="0" borderId="40" xfId="18639" applyBorder="1"/>
    <xf numFmtId="195" fontId="143" fillId="0" borderId="39" xfId="18639" applyNumberFormat="1" applyFont="1" applyFill="1" applyBorder="1" applyAlignment="1" applyProtection="1">
      <alignment horizontal="center" vertical="center"/>
      <protection locked="0"/>
    </xf>
    <xf numFmtId="195" fontId="143" fillId="0" borderId="38" xfId="18639" applyNumberFormat="1" applyFont="1" applyFill="1" applyBorder="1" applyAlignment="1" applyProtection="1">
      <alignment horizontal="center" vertical="center"/>
      <protection locked="0"/>
    </xf>
    <xf numFmtId="192" fontId="139" fillId="0" borderId="9" xfId="18641" applyFont="1" applyBorder="1" applyAlignment="1">
      <alignment horizontal="left" vertical="center"/>
    </xf>
    <xf numFmtId="10" fontId="21" fillId="0" borderId="0" xfId="18639" applyNumberFormat="1"/>
    <xf numFmtId="199" fontId="129" fillId="0" borderId="10" xfId="18639" applyNumberFormat="1" applyFont="1" applyFill="1" applyBorder="1" applyAlignment="1" applyProtection="1">
      <alignment horizontal="right" vertical="center"/>
      <protection locked="0"/>
    </xf>
    <xf numFmtId="192" fontId="138" fillId="0" borderId="3" xfId="18641" applyFont="1" applyBorder="1" applyAlignment="1">
      <alignment horizontal="left" vertical="center"/>
    </xf>
    <xf numFmtId="192" fontId="139" fillId="0" borderId="11" xfId="18641" applyFont="1" applyBorder="1" applyAlignment="1">
      <alignment horizontal="left" vertical="center"/>
    </xf>
    <xf numFmtId="192" fontId="128" fillId="0" borderId="0" xfId="18641" applyFont="1" applyBorder="1" applyAlignment="1"/>
    <xf numFmtId="192" fontId="139" fillId="0" borderId="0" xfId="18641" applyFont="1" applyBorder="1" applyAlignment="1">
      <alignment horizontal="left" vertical="center"/>
    </xf>
    <xf numFmtId="192" fontId="21" fillId="0" borderId="34" xfId="18639" applyBorder="1"/>
    <xf numFmtId="195" fontId="146" fillId="0" borderId="33" xfId="18639" applyNumberFormat="1" applyFont="1" applyFill="1" applyBorder="1" applyAlignment="1" applyProtection="1">
      <alignment horizontal="center" vertical="top"/>
      <protection locked="0"/>
    </xf>
    <xf numFmtId="192" fontId="22" fillId="0" borderId="0" xfId="18641" applyFont="1" applyBorder="1" applyAlignment="1"/>
    <xf numFmtId="192" fontId="98" fillId="0" borderId="0" xfId="18641" applyFont="1" applyBorder="1" applyAlignment="1">
      <alignment horizontal="justify"/>
    </xf>
    <xf numFmtId="192" fontId="147" fillId="0" borderId="0" xfId="18645" applyFont="1" applyBorder="1" applyAlignment="1" applyProtection="1">
      <alignment horizontal="center"/>
    </xf>
    <xf numFmtId="192" fontId="147" fillId="0" borderId="0" xfId="18639" applyFont="1" applyAlignment="1">
      <alignment horizontal="center"/>
    </xf>
    <xf numFmtId="200" fontId="118" fillId="0" borderId="0" xfId="18639" applyNumberFormat="1" applyFont="1" applyBorder="1" applyAlignment="1" applyProtection="1">
      <alignment horizontal="right"/>
      <protection locked="0"/>
    </xf>
    <xf numFmtId="192" fontId="98" fillId="0" borderId="99" xfId="18641" applyBorder="1" applyAlignment="1"/>
    <xf numFmtId="192" fontId="15" fillId="0" borderId="0" xfId="18641" applyFont="1" applyBorder="1" applyAlignment="1">
      <alignment horizontal="right"/>
    </xf>
    <xf numFmtId="164" fontId="15" fillId="0" borderId="100" xfId="18640" applyNumberFormat="1" applyFont="1" applyBorder="1" applyAlignment="1"/>
    <xf numFmtId="195" fontId="148" fillId="0" borderId="33" xfId="18639" applyNumberFormat="1" applyFont="1" applyFill="1" applyBorder="1" applyAlignment="1" applyProtection="1">
      <alignment horizontal="center" vertical="top"/>
      <protection locked="0"/>
    </xf>
    <xf numFmtId="192" fontId="149" fillId="0" borderId="0" xfId="18639" applyFont="1" applyAlignment="1">
      <alignment horizontal="left"/>
    </xf>
    <xf numFmtId="192" fontId="98" fillId="0" borderId="0" xfId="18641" applyFont="1" applyBorder="1" applyAlignment="1">
      <alignment horizontal="justify" vertical="center"/>
    </xf>
    <xf numFmtId="10" fontId="141" fillId="0" borderId="0" xfId="18639" applyNumberFormat="1" applyFont="1" applyBorder="1" applyAlignment="1">
      <alignment horizontal="right"/>
    </xf>
    <xf numFmtId="192" fontId="21" fillId="0" borderId="0" xfId="18639" applyAlignment="1"/>
    <xf numFmtId="192" fontId="21" fillId="0" borderId="34" xfId="18639" applyBorder="1" applyAlignment="1"/>
    <xf numFmtId="192" fontId="98" fillId="0" borderId="33" xfId="18641" applyBorder="1" applyAlignment="1"/>
    <xf numFmtId="38" fontId="147" fillId="38" borderId="40" xfId="18639" applyNumberFormat="1" applyFont="1" applyFill="1" applyBorder="1" applyAlignment="1" applyProtection="1">
      <protection locked="0"/>
    </xf>
    <xf numFmtId="38" fontId="147" fillId="38" borderId="39" xfId="18639" applyNumberFormat="1" applyFont="1" applyFill="1" applyBorder="1" applyAlignment="1" applyProtection="1">
      <protection locked="0"/>
    </xf>
    <xf numFmtId="38" fontId="127" fillId="38" borderId="39" xfId="18639" applyNumberFormat="1" applyFont="1" applyFill="1" applyBorder="1" applyAlignment="1" applyProtection="1">
      <protection locked="0"/>
    </xf>
    <xf numFmtId="167" fontId="147" fillId="38" borderId="39" xfId="18646" applyNumberFormat="1" applyFont="1" applyFill="1" applyBorder="1" applyAlignment="1" applyProtection="1">
      <alignment horizontal="right"/>
      <protection locked="0"/>
    </xf>
    <xf numFmtId="167" fontId="147" fillId="38" borderId="38" xfId="18646" applyNumberFormat="1" applyFont="1" applyFill="1" applyBorder="1" applyAlignment="1" applyProtection="1">
      <alignment horizontal="right"/>
      <protection locked="0"/>
    </xf>
    <xf numFmtId="10" fontId="147" fillId="0" borderId="0" xfId="18642" applyNumberFormat="1" applyFont="1" applyFill="1" applyBorder="1" applyAlignment="1" applyProtection="1">
      <alignment horizontal="right"/>
      <protection locked="0"/>
    </xf>
    <xf numFmtId="10" fontId="147" fillId="0" borderId="0" xfId="18642" applyNumberFormat="1" applyFont="1" applyFill="1" applyBorder="1" applyAlignment="1" applyProtection="1">
      <protection locked="0"/>
    </xf>
    <xf numFmtId="192" fontId="21" fillId="0" borderId="0" xfId="18639" applyBorder="1" applyAlignment="1"/>
    <xf numFmtId="192" fontId="150" fillId="0" borderId="0" xfId="18641" applyFont="1" applyBorder="1" applyAlignment="1"/>
    <xf numFmtId="38" fontId="147" fillId="38" borderId="34" xfId="18639" applyNumberFormat="1" applyFont="1" applyFill="1" applyBorder="1" applyAlignment="1" applyProtection="1">
      <protection locked="0"/>
    </xf>
    <xf numFmtId="38" fontId="147" fillId="38" borderId="0" xfId="18639" applyNumberFormat="1" applyFont="1" applyFill="1" applyBorder="1" applyAlignment="1" applyProtection="1">
      <alignment vertical="center"/>
      <protection locked="0"/>
    </xf>
    <xf numFmtId="38" fontId="127" fillId="38" borderId="0" xfId="18639" applyNumberFormat="1" applyFont="1" applyFill="1" applyBorder="1" applyAlignment="1" applyProtection="1">
      <alignment vertical="center"/>
      <protection locked="0"/>
    </xf>
    <xf numFmtId="167" fontId="147" fillId="38" borderId="0" xfId="18646" applyNumberFormat="1" applyFont="1" applyFill="1" applyBorder="1" applyAlignment="1" applyProtection="1">
      <alignment horizontal="right"/>
      <protection locked="0"/>
    </xf>
    <xf numFmtId="167" fontId="147" fillId="38" borderId="33" xfId="18646" applyNumberFormat="1" applyFont="1" applyFill="1" applyBorder="1" applyAlignment="1" applyProtection="1">
      <alignment horizontal="right"/>
      <protection locked="0"/>
    </xf>
    <xf numFmtId="10" fontId="147" fillId="0" borderId="0" xfId="18642" applyNumberFormat="1" applyFont="1" applyFill="1" applyBorder="1" applyProtection="1">
      <protection locked="0"/>
    </xf>
    <xf numFmtId="200" fontId="118" fillId="0" borderId="0" xfId="18639" applyNumberFormat="1" applyFont="1" applyBorder="1" applyAlignment="1" applyProtection="1">
      <alignment horizontal="fill"/>
      <protection locked="0"/>
    </xf>
    <xf numFmtId="192" fontId="22" fillId="0" borderId="34" xfId="18639" applyFont="1" applyBorder="1" applyAlignment="1"/>
    <xf numFmtId="164" fontId="151" fillId="0" borderId="100" xfId="18640" applyNumberFormat="1" applyFont="1" applyBorder="1" applyAlignment="1"/>
    <xf numFmtId="193" fontId="128" fillId="0" borderId="101" xfId="18639" applyNumberFormat="1" applyFont="1" applyBorder="1" applyAlignment="1">
      <alignment wrapText="1"/>
    </xf>
    <xf numFmtId="192" fontId="150" fillId="0" borderId="102" xfId="18641" applyFont="1" applyBorder="1" applyAlignment="1"/>
    <xf numFmtId="192" fontId="15" fillId="0" borderId="102" xfId="18641" applyFont="1" applyBorder="1" applyAlignment="1">
      <alignment vertical="center"/>
    </xf>
    <xf numFmtId="192" fontId="21" fillId="0" borderId="102" xfId="18639" applyBorder="1"/>
    <xf numFmtId="192" fontId="15" fillId="0" borderId="102" xfId="18641" applyFont="1" applyBorder="1" applyAlignment="1">
      <alignment horizontal="right" vertical="center"/>
    </xf>
    <xf numFmtId="164" fontId="15" fillId="0" borderId="103" xfId="18640" applyNumberFormat="1" applyFont="1" applyBorder="1" applyAlignment="1">
      <alignment vertical="center"/>
    </xf>
    <xf numFmtId="193" fontId="128" fillId="0" borderId="97" xfId="18639" applyNumberFormat="1" applyFont="1" applyBorder="1" applyAlignment="1">
      <alignment wrapText="1"/>
    </xf>
    <xf numFmtId="192" fontId="15" fillId="0" borderId="0" xfId="18641" applyFont="1" applyBorder="1" applyAlignment="1">
      <alignment vertical="center"/>
    </xf>
    <xf numFmtId="192" fontId="150" fillId="0" borderId="0" xfId="18641" applyFont="1" applyBorder="1" applyAlignment="1">
      <alignment vertical="center"/>
    </xf>
    <xf numFmtId="192" fontId="15" fillId="0" borderId="0" xfId="18641" applyFont="1" applyBorder="1" applyAlignment="1">
      <alignment horizontal="right" vertical="center"/>
    </xf>
    <xf numFmtId="164" fontId="15" fillId="0" borderId="97" xfId="18640" applyNumberFormat="1" applyFont="1" applyBorder="1" applyAlignment="1">
      <alignment vertical="center"/>
    </xf>
    <xf numFmtId="15" fontId="118" fillId="0" borderId="0" xfId="18639" applyNumberFormat="1" applyFont="1" applyBorder="1" applyProtection="1">
      <protection locked="0"/>
    </xf>
    <xf numFmtId="200" fontId="118" fillId="0" borderId="0" xfId="18639" applyNumberFormat="1" applyFont="1" applyBorder="1" applyProtection="1">
      <protection locked="0"/>
    </xf>
    <xf numFmtId="195" fontId="129" fillId="0" borderId="34" xfId="18639" applyNumberFormat="1" applyFont="1" applyFill="1" applyBorder="1" applyAlignment="1" applyProtection="1">
      <alignment horizontal="right" vertical="center"/>
      <protection locked="0"/>
    </xf>
    <xf numFmtId="192" fontId="98" fillId="0" borderId="0" xfId="18641" applyBorder="1" applyAlignment="1"/>
    <xf numFmtId="192" fontId="21" fillId="0" borderId="33" xfId="18639" applyBorder="1" applyAlignment="1"/>
    <xf numFmtId="10" fontId="147" fillId="0" borderId="0" xfId="18642" quotePrefix="1" applyNumberFormat="1" applyFont="1" applyFill="1" applyBorder="1" applyAlignment="1" applyProtection="1">
      <alignment horizontal="right"/>
      <protection locked="0"/>
    </xf>
    <xf numFmtId="195" fontId="145" fillId="0" borderId="99" xfId="18639" applyNumberFormat="1" applyFont="1" applyFill="1" applyBorder="1" applyAlignment="1" applyProtection="1">
      <alignment horizontal="center" vertical="top"/>
      <protection locked="0"/>
    </xf>
    <xf numFmtId="10" fontId="152" fillId="0" borderId="0" xfId="18642" applyNumberFormat="1" applyFont="1" applyFill="1" applyBorder="1" applyAlignment="1" applyProtection="1">
      <alignment horizontal="right" vertical="center"/>
      <protection locked="0"/>
    </xf>
    <xf numFmtId="192" fontId="15" fillId="0" borderId="102" xfId="18641" applyFont="1" applyBorder="1" applyAlignment="1">
      <alignment horizontal="right"/>
    </xf>
    <xf numFmtId="164" fontId="15" fillId="0" borderId="103" xfId="18640" applyNumberFormat="1" applyFont="1" applyBorder="1" applyAlignment="1"/>
    <xf numFmtId="195" fontId="129" fillId="0" borderId="32" xfId="18639" applyNumberFormat="1" applyFont="1" applyFill="1" applyBorder="1" applyAlignment="1" applyProtection="1">
      <alignment horizontal="right" vertical="center"/>
      <protection locked="0"/>
    </xf>
    <xf numFmtId="192" fontId="128" fillId="0" borderId="86" xfId="18641" applyFont="1" applyBorder="1" applyAlignment="1">
      <alignment wrapText="1"/>
    </xf>
    <xf numFmtId="192" fontId="21" fillId="0" borderId="62" xfId="18639" applyBorder="1" applyAlignment="1"/>
    <xf numFmtId="38" fontId="147" fillId="38" borderId="32" xfId="18639" applyNumberFormat="1" applyFont="1" applyFill="1" applyBorder="1" applyAlignment="1" applyProtection="1">
      <protection locked="0"/>
    </xf>
    <xf numFmtId="38" fontId="147" fillId="38" borderId="86" xfId="18639" applyNumberFormat="1" applyFont="1" applyFill="1" applyBorder="1" applyAlignment="1" applyProtection="1">
      <alignment vertical="center"/>
      <protection locked="0"/>
    </xf>
    <xf numFmtId="38" fontId="127" fillId="38" borderId="86" xfId="18639" applyNumberFormat="1" applyFont="1" applyFill="1" applyBorder="1" applyAlignment="1" applyProtection="1">
      <alignment vertical="center"/>
      <protection locked="0"/>
    </xf>
    <xf numFmtId="167" fontId="147" fillId="38" borderId="86" xfId="18646" applyNumberFormat="1" applyFont="1" applyFill="1" applyBorder="1" applyAlignment="1" applyProtection="1">
      <alignment horizontal="right"/>
      <protection locked="0"/>
    </xf>
    <xf numFmtId="167" fontId="147" fillId="38" borderId="62" xfId="18646" applyNumberFormat="1" applyFont="1" applyFill="1" applyBorder="1" applyAlignment="1" applyProtection="1">
      <alignment horizontal="right"/>
      <protection locked="0"/>
    </xf>
    <xf numFmtId="195" fontId="129" fillId="0" borderId="39" xfId="18639" applyNumberFormat="1" applyFont="1" applyFill="1" applyBorder="1" applyAlignment="1" applyProtection="1">
      <alignment horizontal="right" vertical="center"/>
      <protection locked="0"/>
    </xf>
    <xf numFmtId="49" fontId="98" fillId="0" borderId="39" xfId="18641" applyNumberFormat="1" applyBorder="1" applyAlignment="1">
      <alignment wrapText="1"/>
    </xf>
    <xf numFmtId="192" fontId="128" fillId="0" borderId="39" xfId="18641" applyFont="1" applyBorder="1" applyAlignment="1">
      <alignment wrapText="1"/>
    </xf>
    <xf numFmtId="38" fontId="127" fillId="38" borderId="104" xfId="18639" applyNumberFormat="1" applyFont="1" applyFill="1" applyBorder="1" applyAlignment="1" applyProtection="1">
      <alignment vertical="center"/>
      <protection locked="0"/>
    </xf>
    <xf numFmtId="38" fontId="127" fillId="38" borderId="3" xfId="18639" applyNumberFormat="1" applyFont="1" applyFill="1" applyBorder="1" applyAlignment="1" applyProtection="1">
      <alignment vertical="center"/>
      <protection locked="0"/>
    </xf>
    <xf numFmtId="38" fontId="22" fillId="38" borderId="3" xfId="18639" applyNumberFormat="1" applyFont="1" applyFill="1" applyBorder="1" applyAlignment="1" applyProtection="1">
      <alignment vertical="center"/>
      <protection locked="0"/>
    </xf>
    <xf numFmtId="167" fontId="147" fillId="38" borderId="3" xfId="18646" applyNumberFormat="1" applyFont="1" applyFill="1" applyBorder="1" applyAlignment="1" applyProtection="1">
      <alignment horizontal="right"/>
      <protection locked="0"/>
    </xf>
    <xf numFmtId="167" fontId="147" fillId="38" borderId="37" xfId="18646" applyNumberFormat="1" applyFont="1" applyFill="1" applyBorder="1" applyAlignment="1" applyProtection="1">
      <alignment horizontal="right"/>
      <protection locked="0"/>
    </xf>
    <xf numFmtId="195" fontId="129" fillId="0" borderId="0" xfId="18639" applyNumberFormat="1" applyFont="1" applyFill="1" applyBorder="1" applyAlignment="1" applyProtection="1">
      <alignment horizontal="right" vertical="center"/>
      <protection locked="0"/>
    </xf>
    <xf numFmtId="49" fontId="98" fillId="0" borderId="0" xfId="18641" applyNumberFormat="1" applyBorder="1" applyAlignment="1">
      <alignment wrapText="1"/>
    </xf>
    <xf numFmtId="192" fontId="98" fillId="0" borderId="0" xfId="18641" applyBorder="1" applyAlignment="1">
      <alignment wrapText="1"/>
    </xf>
    <xf numFmtId="38" fontId="153" fillId="38" borderId="32" xfId="18639" applyNumberFormat="1" applyFont="1" applyFill="1" applyBorder="1" applyAlignment="1" applyProtection="1">
      <alignment vertical="center"/>
      <protection locked="0"/>
    </xf>
    <xf numFmtId="38" fontId="153" fillId="38" borderId="86" xfId="18639" applyNumberFormat="1" applyFont="1" applyFill="1" applyBorder="1" applyAlignment="1" applyProtection="1">
      <alignment vertical="center"/>
      <protection locked="0"/>
    </xf>
    <xf numFmtId="167" fontId="152" fillId="38" borderId="86" xfId="18646" applyNumberFormat="1" applyFont="1" applyFill="1" applyBorder="1" applyAlignment="1" applyProtection="1">
      <alignment horizontal="right" vertical="center"/>
      <protection locked="0"/>
    </xf>
    <xf numFmtId="167" fontId="152" fillId="38" borderId="62" xfId="18646" applyNumberFormat="1" applyFont="1" applyFill="1" applyBorder="1" applyAlignment="1" applyProtection="1">
      <alignment horizontal="right" vertical="center"/>
      <protection locked="0"/>
    </xf>
    <xf numFmtId="192" fontId="42" fillId="0" borderId="0" xfId="18641" applyFont="1"/>
    <xf numFmtId="2" fontId="156" fillId="0" borderId="39" xfId="18645" applyNumberFormat="1" applyFont="1" applyFill="1" applyBorder="1"/>
    <xf numFmtId="2" fontId="22" fillId="0" borderId="39" xfId="18645" applyNumberFormat="1" applyFont="1" applyFill="1" applyBorder="1"/>
    <xf numFmtId="192" fontId="21" fillId="0" borderId="38" xfId="18639" applyBorder="1"/>
    <xf numFmtId="192" fontId="21" fillId="0" borderId="34" xfId="18639" applyFont="1" applyBorder="1"/>
    <xf numFmtId="2" fontId="22" fillId="0" borderId="33" xfId="18645" applyNumberFormat="1" applyFont="1" applyFill="1" applyBorder="1"/>
    <xf numFmtId="2" fontId="22" fillId="0" borderId="0" xfId="18645" applyNumberFormat="1" applyFont="1" applyFill="1" applyBorder="1"/>
    <xf numFmtId="2" fontId="22" fillId="35" borderId="105" xfId="18645" applyNumberFormat="1" applyFont="1" applyFill="1" applyBorder="1"/>
    <xf numFmtId="44" fontId="21" fillId="0" borderId="0" xfId="18639" applyNumberFormat="1"/>
    <xf numFmtId="2" fontId="22" fillId="35" borderId="106" xfId="18645" applyNumberFormat="1" applyFont="1" applyFill="1" applyBorder="1"/>
    <xf numFmtId="2" fontId="22" fillId="35" borderId="107" xfId="18645" applyNumberFormat="1" applyFont="1" applyFill="1" applyBorder="1"/>
    <xf numFmtId="2" fontId="22" fillId="35" borderId="1" xfId="18645" applyNumberFormat="1" applyFont="1" applyFill="1" applyBorder="1"/>
    <xf numFmtId="2" fontId="22" fillId="89" borderId="1" xfId="18645" applyNumberFormat="1" applyFont="1" applyFill="1" applyBorder="1"/>
    <xf numFmtId="192" fontId="15" fillId="0" borderId="0" xfId="18639" applyFont="1"/>
    <xf numFmtId="169" fontId="0" fillId="3" borderId="0" xfId="3" applyNumberFormat="1" applyFont="1" applyFill="1" applyBorder="1" applyAlignment="1">
      <alignment horizontal="center" vertical="center"/>
    </xf>
    <xf numFmtId="38" fontId="0" fillId="0" borderId="0" xfId="0" applyNumberFormat="1"/>
    <xf numFmtId="9" fontId="0" fillId="2" borderId="0" xfId="0" applyNumberFormat="1" applyFill="1"/>
    <xf numFmtId="0" fontId="21" fillId="0" borderId="82" xfId="18008" applyBorder="1" applyProtection="1">
      <protection locked="0"/>
    </xf>
    <xf numFmtId="0" fontId="21" fillId="0" borderId="83" xfId="18008" applyBorder="1" applyProtection="1">
      <protection locked="0"/>
    </xf>
    <xf numFmtId="169" fontId="21" fillId="57" borderId="82" xfId="2963" applyNumberFormat="1" applyFont="1" applyFill="1" applyBorder="1" applyProtection="1">
      <protection locked="0"/>
    </xf>
    <xf numFmtId="169" fontId="21" fillId="57" borderId="82" xfId="18008" applyNumberFormat="1" applyFill="1" applyBorder="1" applyProtection="1">
      <protection locked="0"/>
    </xf>
    <xf numFmtId="169" fontId="21" fillId="57" borderId="83" xfId="18008" applyNumberFormat="1" applyFill="1" applyBorder="1" applyProtection="1">
      <protection locked="0"/>
    </xf>
    <xf numFmtId="0" fontId="5" fillId="0" borderId="108" xfId="0" applyFont="1" applyBorder="1" applyAlignment="1">
      <alignment horizontal="centerContinuous" wrapText="1"/>
    </xf>
    <xf numFmtId="0" fontId="0" fillId="0" borderId="92" xfId="0" applyBorder="1"/>
    <xf numFmtId="0" fontId="0" fillId="0" borderId="35" xfId="0" applyBorder="1"/>
    <xf numFmtId="184" fontId="116" fillId="94" borderId="34" xfId="0" applyNumberFormat="1" applyFont="1" applyFill="1" applyBorder="1" applyAlignment="1">
      <alignment horizontal="right" wrapText="1"/>
    </xf>
    <xf numFmtId="164" fontId="0" fillId="94" borderId="0" xfId="1" applyNumberFormat="1" applyFont="1" applyFill="1" applyBorder="1"/>
    <xf numFmtId="164" fontId="0" fillId="94" borderId="33" xfId="1" applyNumberFormat="1" applyFont="1" applyFill="1" applyBorder="1"/>
    <xf numFmtId="184" fontId="116" fillId="0" borderId="34" xfId="0" applyNumberFormat="1" applyFont="1" applyBorder="1" applyAlignment="1">
      <alignment horizontal="right" wrapText="1"/>
    </xf>
    <xf numFmtId="5" fontId="0" fillId="0" borderId="0" xfId="0" applyNumberFormat="1" applyFill="1" applyBorder="1"/>
    <xf numFmtId="5" fontId="0" fillId="0" borderId="33" xfId="0" applyNumberFormat="1" applyFill="1" applyBorder="1"/>
    <xf numFmtId="184" fontId="116" fillId="94" borderId="32" xfId="0" applyNumberFormat="1" applyFont="1" applyFill="1" applyBorder="1" applyAlignment="1">
      <alignment horizontal="right" wrapText="1"/>
    </xf>
    <xf numFmtId="5" fontId="0" fillId="94" borderId="86" xfId="0" applyNumberFormat="1" applyFill="1" applyBorder="1"/>
    <xf numFmtId="5" fontId="0" fillId="94" borderId="62" xfId="0" applyNumberFormat="1" applyFill="1" applyBorder="1"/>
    <xf numFmtId="0" fontId="160" fillId="0" borderId="40" xfId="0" applyFont="1" applyBorder="1" applyAlignment="1">
      <alignment horizontal="left"/>
    </xf>
    <xf numFmtId="0" fontId="160" fillId="0" borderId="38" xfId="0" applyFont="1" applyBorder="1" applyAlignment="1">
      <alignment horizontal="center"/>
    </xf>
    <xf numFmtId="0" fontId="160" fillId="0" borderId="34" xfId="0" applyFont="1" applyBorder="1" applyAlignment="1">
      <alignment horizontal="left"/>
    </xf>
    <xf numFmtId="0" fontId="160" fillId="0" borderId="33" xfId="0" applyFont="1" applyBorder="1" applyAlignment="1">
      <alignment horizontal="center"/>
    </xf>
    <xf numFmtId="0" fontId="160" fillId="0" borderId="32" xfId="0" applyFont="1" applyBorder="1" applyAlignment="1">
      <alignment horizontal="left"/>
    </xf>
    <xf numFmtId="0" fontId="160" fillId="0" borderId="62" xfId="0" applyFont="1" applyBorder="1" applyAlignment="1">
      <alignment horizontal="center"/>
    </xf>
    <xf numFmtId="169" fontId="21" fillId="57" borderId="0" xfId="18008" applyNumberFormat="1" applyFill="1" applyBorder="1" applyProtection="1">
      <protection locked="0"/>
    </xf>
    <xf numFmtId="169" fontId="21" fillId="0" borderId="0" xfId="2963" applyNumberFormat="1" applyFont="1" applyFill="1" applyBorder="1" applyProtection="1">
      <protection locked="0"/>
    </xf>
    <xf numFmtId="0" fontId="0" fillId="0" borderId="62" xfId="0" applyBorder="1"/>
    <xf numFmtId="0" fontId="0" fillId="0" borderId="40" xfId="0" applyBorder="1"/>
    <xf numFmtId="0" fontId="0" fillId="0" borderId="32" xfId="0" applyBorder="1"/>
    <xf numFmtId="164" fontId="88" fillId="2" borderId="0" xfId="1" applyNumberFormat="1" applyFont="1" applyFill="1" applyAlignment="1">
      <alignment horizontal="right"/>
    </xf>
    <xf numFmtId="0" fontId="0" fillId="9" borderId="0" xfId="0" applyFill="1"/>
    <xf numFmtId="170" fontId="0" fillId="9" borderId="0" xfId="1" applyNumberFormat="1" applyFont="1" applyFill="1"/>
    <xf numFmtId="192" fontId="15" fillId="0" borderId="0" xfId="18641" applyFont="1" applyBorder="1" applyAlignment="1">
      <alignment horizontal="left"/>
    </xf>
    <xf numFmtId="192" fontId="15" fillId="0" borderId="102" xfId="18641" applyFont="1" applyBorder="1" applyAlignment="1">
      <alignment horizontal="left"/>
    </xf>
    <xf numFmtId="192" fontId="127" fillId="0" borderId="9" xfId="18639" applyFont="1" applyBorder="1" applyAlignment="1">
      <alignment horizontal="center"/>
    </xf>
    <xf numFmtId="192" fontId="138" fillId="0" borderId="0" xfId="18639" applyFont="1" applyBorder="1" applyAlignment="1">
      <alignment horizontal="left" wrapText="1"/>
    </xf>
    <xf numFmtId="192" fontId="138" fillId="0" borderId="9" xfId="18639" applyFont="1" applyBorder="1" applyAlignment="1">
      <alignment horizontal="left" wrapText="1"/>
    </xf>
    <xf numFmtId="192" fontId="138" fillId="0" borderId="0" xfId="18641" applyFont="1" applyBorder="1" applyAlignment="1">
      <alignment horizontal="left" vertical="center"/>
    </xf>
    <xf numFmtId="194" fontId="127" fillId="0" borderId="0" xfId="18639" applyNumberFormat="1" applyFont="1" applyBorder="1" applyAlignment="1" applyProtection="1">
      <alignment horizontal="center" vertical="center"/>
      <protection locked="0"/>
    </xf>
    <xf numFmtId="193" fontId="127" fillId="0" borderId="0" xfId="18639" applyNumberFormat="1" applyFont="1" applyBorder="1" applyAlignment="1" applyProtection="1">
      <alignment horizontal="center" vertical="center"/>
      <protection locked="0"/>
    </xf>
    <xf numFmtId="192" fontId="98" fillId="0" borderId="0" xfId="18641" applyAlignment="1"/>
    <xf numFmtId="38" fontId="161" fillId="5" borderId="92" xfId="18639" applyNumberFormat="1" applyFont="1" applyFill="1" applyBorder="1" applyAlignment="1" applyProtection="1">
      <alignment horizontal="right" vertical="center"/>
      <protection locked="0"/>
    </xf>
    <xf numFmtId="199" fontId="162" fillId="5" borderId="0" xfId="18639" applyNumberFormat="1" applyFont="1" applyFill="1" applyBorder="1" applyAlignment="1" applyProtection="1">
      <alignment horizontal="left" vertical="center"/>
      <protection locked="0"/>
    </xf>
    <xf numFmtId="1" fontId="161" fillId="5" borderId="92" xfId="18639" applyNumberFormat="1" applyFont="1" applyFill="1" applyBorder="1" applyAlignment="1">
      <alignment vertical="center"/>
    </xf>
    <xf numFmtId="195" fontId="162" fillId="5" borderId="92" xfId="18639" applyNumberFormat="1" applyFont="1" applyFill="1" applyBorder="1" applyAlignment="1" applyProtection="1">
      <alignment horizontal="center" vertical="center"/>
      <protection locked="0"/>
    </xf>
    <xf numFmtId="38" fontId="161" fillId="5" borderId="93" xfId="18639" applyNumberFormat="1" applyFont="1" applyFill="1" applyBorder="1" applyAlignment="1" applyProtection="1">
      <alignment vertical="center"/>
      <protection locked="0"/>
    </xf>
    <xf numFmtId="38" fontId="161" fillId="5" borderId="92" xfId="18639" applyNumberFormat="1" applyFont="1" applyFill="1" applyBorder="1" applyAlignment="1" applyProtection="1">
      <alignment vertical="center"/>
      <protection locked="0"/>
    </xf>
    <xf numFmtId="194" fontId="161" fillId="5" borderId="92" xfId="18639" applyNumberFormat="1" applyFont="1" applyFill="1" applyBorder="1" applyAlignment="1" applyProtection="1">
      <alignment vertical="center"/>
      <protection locked="0"/>
    </xf>
    <xf numFmtId="192" fontId="161" fillId="5" borderId="90" xfId="18639" applyFont="1" applyFill="1" applyBorder="1" applyAlignment="1">
      <alignment vertical="center"/>
    </xf>
    <xf numFmtId="37" fontId="162" fillId="5" borderId="0" xfId="18639" applyNumberFormat="1" applyFont="1" applyFill="1" applyBorder="1" applyAlignment="1" applyProtection="1">
      <alignment horizontal="left" vertical="center"/>
      <protection locked="0"/>
    </xf>
    <xf numFmtId="193" fontId="163" fillId="5" borderId="92" xfId="18639" applyNumberFormat="1" applyFont="1" applyFill="1" applyBorder="1" applyAlignment="1" applyProtection="1">
      <alignment horizontal="left" vertical="center"/>
      <protection locked="0"/>
    </xf>
    <xf numFmtId="199" fontId="162" fillId="5" borderId="92" xfId="18639" applyNumberFormat="1" applyFont="1" applyFill="1" applyBorder="1" applyAlignment="1">
      <alignment horizontal="center" vertical="center"/>
    </xf>
    <xf numFmtId="193" fontId="161" fillId="5" borderId="92" xfId="18639" applyNumberFormat="1" applyFont="1" applyFill="1" applyBorder="1" applyAlignment="1">
      <alignment vertical="center"/>
    </xf>
    <xf numFmtId="38" fontId="164" fillId="5" borderId="93" xfId="18639" applyNumberFormat="1" applyFont="1" applyFill="1" applyBorder="1" applyAlignment="1" applyProtection="1">
      <alignment horizontal="right" vertical="center"/>
      <protection locked="0"/>
    </xf>
    <xf numFmtId="194" fontId="161" fillId="5" borderId="94" xfId="18639" applyNumberFormat="1" applyFont="1" applyFill="1" applyBorder="1" applyAlignment="1" applyProtection="1">
      <alignment vertical="center"/>
      <protection locked="0"/>
    </xf>
    <xf numFmtId="196" fontId="161" fillId="5" borderId="90" xfId="18639" applyNumberFormat="1" applyFont="1" applyFill="1" applyBorder="1" applyAlignment="1">
      <alignment horizontal="center" vertical="center"/>
    </xf>
    <xf numFmtId="38" fontId="161" fillId="5" borderId="91" xfId="18639" applyNumberFormat="1" applyFont="1" applyFill="1" applyBorder="1" applyAlignment="1" applyProtection="1">
      <alignment vertical="center"/>
      <protection locked="0"/>
    </xf>
    <xf numFmtId="192" fontId="138" fillId="0" borderId="0" xfId="18641" applyFont="1" applyBorder="1" applyAlignment="1"/>
    <xf numFmtId="192" fontId="128" fillId="0" borderId="0" xfId="18639" applyFont="1" applyBorder="1" applyAlignment="1">
      <alignment vertical="center"/>
    </xf>
    <xf numFmtId="195" fontId="129" fillId="0" borderId="0" xfId="18639" applyNumberFormat="1" applyFont="1" applyFill="1" applyBorder="1" applyAlignment="1" applyProtection="1">
      <alignment horizontal="right"/>
      <protection locked="0"/>
    </xf>
    <xf numFmtId="192" fontId="128" fillId="0" borderId="0" xfId="18639" applyFont="1" applyBorder="1" applyAlignment="1">
      <alignment wrapText="1"/>
    </xf>
    <xf numFmtId="0" fontId="21" fillId="0" borderId="0" xfId="18665"/>
    <xf numFmtId="169" fontId="21" fillId="0" borderId="5" xfId="2963" applyNumberFormat="1" applyFont="1" applyFill="1" applyBorder="1" applyProtection="1">
      <protection locked="0"/>
    </xf>
    <xf numFmtId="169" fontId="21" fillId="0" borderId="0" xfId="18008" applyNumberFormat="1" applyFill="1" applyBorder="1" applyProtection="1">
      <protection locked="0"/>
    </xf>
    <xf numFmtId="169" fontId="21" fillId="0" borderId="8" xfId="2963" applyNumberFormat="1" applyFont="1" applyFill="1" applyBorder="1" applyProtection="1">
      <protection locked="0"/>
    </xf>
    <xf numFmtId="169" fontId="21" fillId="0" borderId="10" xfId="2963" applyNumberFormat="1" applyFont="1" applyFill="1" applyBorder="1" applyProtection="1">
      <protection locked="0"/>
    </xf>
    <xf numFmtId="0" fontId="165" fillId="0" borderId="0" xfId="0" applyFont="1" applyAlignment="1">
      <alignment horizontal="left"/>
    </xf>
    <xf numFmtId="0" fontId="94" fillId="0" borderId="0" xfId="0" applyFont="1"/>
    <xf numFmtId="0" fontId="166" fillId="0" borderId="0" xfId="18280" applyFont="1" applyFill="1" applyBorder="1" applyAlignment="1" applyProtection="1"/>
    <xf numFmtId="0" fontId="94" fillId="0" borderId="0" xfId="0" applyFont="1" applyAlignment="1">
      <alignment horizontal="left"/>
    </xf>
    <xf numFmtId="49" fontId="22" fillId="0" borderId="0" xfId="0" applyNumberFormat="1" applyFont="1" applyFill="1" applyBorder="1"/>
    <xf numFmtId="0" fontId="165" fillId="0" borderId="0" xfId="0" applyFont="1" applyAlignment="1">
      <alignment horizontal="center"/>
    </xf>
    <xf numFmtId="0" fontId="165" fillId="0" borderId="0" xfId="0" applyFont="1" applyBorder="1" applyAlignment="1">
      <alignment horizontal="center"/>
    </xf>
    <xf numFmtId="0" fontId="94" fillId="0" borderId="0" xfId="0" applyFont="1" applyAlignment="1">
      <alignment horizontal="center"/>
    </xf>
    <xf numFmtId="2" fontId="21" fillId="0" borderId="0" xfId="0" applyNumberFormat="1" applyFont="1" applyAlignment="1">
      <alignment horizontal="left"/>
    </xf>
    <xf numFmtId="3" fontId="21" fillId="0" borderId="0" xfId="0" applyNumberFormat="1" applyFont="1" applyAlignment="1">
      <alignment horizontal="center"/>
    </xf>
    <xf numFmtId="2" fontId="156" fillId="0" borderId="0" xfId="0" applyNumberFormat="1" applyFont="1" applyAlignment="1">
      <alignment horizontal="left"/>
    </xf>
    <xf numFmtId="2" fontId="21" fillId="0" borderId="0" xfId="0" applyNumberFormat="1" applyFont="1" applyAlignment="1">
      <alignment horizontal="center"/>
    </xf>
    <xf numFmtId="0" fontId="167" fillId="0" borderId="0" xfId="0" applyFont="1" applyAlignment="1">
      <alignment horizontal="left"/>
    </xf>
    <xf numFmtId="38" fontId="94" fillId="0" borderId="0" xfId="0" applyNumberFormat="1" applyFont="1"/>
    <xf numFmtId="0" fontId="94" fillId="9" borderId="0" xfId="0" applyFont="1" applyFill="1"/>
    <xf numFmtId="43" fontId="94" fillId="0" borderId="0" xfId="1" applyFont="1"/>
    <xf numFmtId="170" fontId="94" fillId="0" borderId="0" xfId="1" applyNumberFormat="1" applyFont="1"/>
    <xf numFmtId="0" fontId="0" fillId="0" borderId="74" xfId="0" applyBorder="1" applyAlignment="1">
      <alignment horizontal="left" indent="1"/>
    </xf>
    <xf numFmtId="1" fontId="88" fillId="2" borderId="0" xfId="1" applyNumberFormat="1" applyFont="1" applyFill="1"/>
    <xf numFmtId="38" fontId="94" fillId="0" borderId="0" xfId="0" quotePrefix="1" applyNumberFormat="1" applyFont="1"/>
    <xf numFmtId="0" fontId="2" fillId="0" borderId="0" xfId="0" applyFont="1" applyFill="1" applyAlignment="1">
      <alignment horizontal="center"/>
    </xf>
    <xf numFmtId="0" fontId="0" fillId="0" borderId="8" xfId="0" applyBorder="1"/>
    <xf numFmtId="9" fontId="0" fillId="0" borderId="9" xfId="2" applyFont="1" applyBorder="1"/>
    <xf numFmtId="43" fontId="5" fillId="0" borderId="0" xfId="1" applyNumberFormat="1" applyFont="1"/>
    <xf numFmtId="201" fontId="21" fillId="0" borderId="0" xfId="2" applyNumberFormat="1" applyFont="1"/>
    <xf numFmtId="3" fontId="0" fillId="0" borderId="0" xfId="0" applyNumberFormat="1" applyFill="1"/>
    <xf numFmtId="1" fontId="20" fillId="0" borderId="0" xfId="1" applyNumberFormat="1" applyFont="1" applyFill="1"/>
    <xf numFmtId="0" fontId="0" fillId="0" borderId="0" xfId="0" applyFont="1" applyFill="1" applyAlignment="1">
      <alignment horizontal="left" indent="1"/>
    </xf>
    <xf numFmtId="1" fontId="20" fillId="2" borderId="0" xfId="1" applyNumberFormat="1" applyFont="1" applyFill="1"/>
    <xf numFmtId="0" fontId="0" fillId="0" borderId="82" xfId="0" applyBorder="1"/>
    <xf numFmtId="167" fontId="0" fillId="0" borderId="82" xfId="0" applyNumberFormat="1" applyBorder="1"/>
    <xf numFmtId="0" fontId="23" fillId="0" borderId="0" xfId="3089" applyFont="1"/>
    <xf numFmtId="3" fontId="21" fillId="0" borderId="0" xfId="3089" applyNumberFormat="1"/>
    <xf numFmtId="0" fontId="21" fillId="0" borderId="0" xfId="3089" applyAlignment="1">
      <alignment wrapText="1"/>
    </xf>
    <xf numFmtId="49" fontId="44" fillId="6" borderId="109" xfId="18666" applyNumberFormat="1" applyFont="1" applyFill="1" applyBorder="1"/>
    <xf numFmtId="3" fontId="44" fillId="0" borderId="110" xfId="18666" applyNumberFormat="1" applyFont="1" applyFill="1" applyBorder="1"/>
    <xf numFmtId="3" fontId="44" fillId="0" borderId="111" xfId="18666" applyNumberFormat="1" applyFont="1" applyFill="1" applyBorder="1"/>
    <xf numFmtId="202" fontId="44" fillId="0" borderId="0" xfId="0" applyNumberFormat="1" applyFont="1" applyFill="1" applyBorder="1"/>
    <xf numFmtId="0" fontId="44" fillId="0" borderId="0" xfId="0" applyFont="1" applyAlignment="1"/>
    <xf numFmtId="203" fontId="44" fillId="6" borderId="109" xfId="18666" applyNumberFormat="1" applyFont="1" applyFill="1" applyBorder="1"/>
    <xf numFmtId="204" fontId="44" fillId="6" borderId="109" xfId="18666" applyNumberFormat="1" applyFont="1" applyFill="1" applyBorder="1"/>
    <xf numFmtId="0" fontId="0" fillId="0" borderId="108" xfId="0" applyBorder="1"/>
    <xf numFmtId="0" fontId="0" fillId="0" borderId="0" xfId="0" applyFont="1"/>
    <xf numFmtId="9" fontId="20" fillId="0" borderId="0" xfId="0" applyNumberFormat="1" applyFont="1" applyAlignment="1"/>
    <xf numFmtId="0" fontId="20" fillId="0" borderId="0" xfId="0" applyFont="1" applyAlignment="1"/>
    <xf numFmtId="0" fontId="0" fillId="0" borderId="112" xfId="0" applyBorder="1" applyAlignment="1">
      <alignment horizontal="left" indent="1"/>
    </xf>
    <xf numFmtId="0" fontId="0" fillId="0" borderId="113" xfId="0" applyBorder="1"/>
    <xf numFmtId="0" fontId="0" fillId="0" borderId="32" xfId="0" applyBorder="1" applyAlignment="1">
      <alignment vertical="top" wrapText="1"/>
    </xf>
    <xf numFmtId="0" fontId="104" fillId="0" borderId="0" xfId="0" applyFont="1" applyBorder="1" applyAlignment="1"/>
    <xf numFmtId="0" fontId="0" fillId="97" borderId="114" xfId="0" applyFill="1" applyBorder="1"/>
    <xf numFmtId="0" fontId="0" fillId="96" borderId="115" xfId="0" applyFill="1" applyBorder="1"/>
    <xf numFmtId="0" fontId="0" fillId="95" borderId="116" xfId="0" applyFill="1" applyBorder="1"/>
    <xf numFmtId="43" fontId="0" fillId="0" borderId="0" xfId="1" applyFont="1"/>
    <xf numFmtId="10" fontId="0" fillId="3" borderId="1" xfId="2" applyNumberFormat="1" applyFont="1" applyFill="1" applyBorder="1" applyAlignment="1">
      <alignment horizontal="center" vertical="center"/>
    </xf>
    <xf numFmtId="0" fontId="20" fillId="0" borderId="0" xfId="5" applyFont="1"/>
    <xf numFmtId="0" fontId="20" fillId="0" borderId="3" xfId="5" applyFont="1" applyBorder="1"/>
    <xf numFmtId="0" fontId="20" fillId="0" borderId="0" xfId="5" applyFont="1" applyAlignment="1">
      <alignment horizontal="right"/>
    </xf>
    <xf numFmtId="2" fontId="20" fillId="0" borderId="0" xfId="5" applyNumberFormat="1" applyFont="1"/>
    <xf numFmtId="9" fontId="20" fillId="0" borderId="0" xfId="5" applyNumberFormat="1" applyFont="1"/>
    <xf numFmtId="0" fontId="20" fillId="0" borderId="0" xfId="5" applyFont="1" applyBorder="1"/>
    <xf numFmtId="0" fontId="20" fillId="0" borderId="4" xfId="5" applyFont="1" applyFill="1" applyBorder="1"/>
    <xf numFmtId="0" fontId="20" fillId="0" borderId="4" xfId="5" applyFont="1" applyFill="1" applyBorder="1" applyAlignment="1">
      <alignment horizontal="center" wrapText="1"/>
    </xf>
    <xf numFmtId="0" fontId="20" fillId="0" borderId="0" xfId="5" applyFont="1" applyFill="1" applyBorder="1"/>
    <xf numFmtId="0" fontId="20" fillId="0" borderId="0" xfId="5" applyFont="1" applyFill="1"/>
    <xf numFmtId="0" fontId="20" fillId="0" borderId="0" xfId="5" applyFont="1" applyFill="1" applyBorder="1" applyAlignment="1">
      <alignment horizontal="center" wrapText="1"/>
    </xf>
    <xf numFmtId="0" fontId="168" fillId="0" borderId="4" xfId="5" applyFont="1" applyFill="1" applyBorder="1" applyAlignment="1">
      <alignment horizontal="left" vertical="top" wrapText="1"/>
    </xf>
    <xf numFmtId="169" fontId="168" fillId="0" borderId="4" xfId="6" applyNumberFormat="1" applyFont="1" applyFill="1" applyBorder="1" applyAlignment="1">
      <alignment vertical="top"/>
    </xf>
    <xf numFmtId="0" fontId="168" fillId="0" borderId="4" xfId="5" applyFont="1" applyFill="1" applyBorder="1" applyAlignment="1">
      <alignment horizontal="center" vertical="top"/>
    </xf>
    <xf numFmtId="170" fontId="168" fillId="0" borderId="4" xfId="7" applyNumberFormat="1" applyFont="1" applyFill="1" applyBorder="1" applyAlignment="1">
      <alignment horizontal="right" vertical="top" wrapText="1"/>
    </xf>
    <xf numFmtId="2" fontId="20" fillId="0" borderId="4" xfId="5" applyNumberFormat="1" applyFont="1" applyFill="1" applyBorder="1" applyAlignment="1" applyProtection="1">
      <alignment horizontal="center"/>
      <protection locked="0"/>
    </xf>
    <xf numFmtId="0" fontId="168" fillId="0" borderId="0" xfId="5" applyFont="1" applyFill="1" applyBorder="1" applyAlignment="1">
      <alignment horizontal="left" vertical="top" wrapText="1"/>
    </xf>
    <xf numFmtId="170" fontId="168" fillId="0" borderId="0" xfId="7" applyNumberFormat="1" applyFont="1" applyFill="1" applyBorder="1" applyAlignment="1">
      <alignment horizontal="right" vertical="top" wrapText="1"/>
    </xf>
    <xf numFmtId="0" fontId="168" fillId="0" borderId="0" xfId="5" applyFont="1" applyFill="1" applyBorder="1" applyAlignment="1">
      <alignment horizontal="right" vertical="top"/>
    </xf>
    <xf numFmtId="2" fontId="20" fillId="0" borderId="0" xfId="5" applyNumberFormat="1" applyFont="1" applyFill="1" applyBorder="1" applyAlignment="1" applyProtection="1">
      <alignment horizontal="right"/>
      <protection locked="0"/>
    </xf>
    <xf numFmtId="44" fontId="20" fillId="0" borderId="4" xfId="6" applyNumberFormat="1" applyFont="1" applyFill="1" applyBorder="1" applyAlignment="1" applyProtection="1">
      <alignment horizontal="right"/>
      <protection locked="0"/>
    </xf>
    <xf numFmtId="44" fontId="168" fillId="0" borderId="0" xfId="6" applyFont="1" applyFill="1" applyBorder="1" applyAlignment="1">
      <alignment horizontal="right" vertical="top"/>
    </xf>
    <xf numFmtId="5" fontId="168" fillId="0" borderId="0" xfId="6" applyNumberFormat="1" applyFont="1" applyFill="1" applyBorder="1" applyAlignment="1">
      <alignment horizontal="right" vertical="top"/>
    </xf>
    <xf numFmtId="44" fontId="20" fillId="0" borderId="4" xfId="6" applyFont="1" applyFill="1" applyBorder="1" applyAlignment="1" applyProtection="1">
      <alignment horizontal="right"/>
      <protection locked="0"/>
    </xf>
    <xf numFmtId="169" fontId="168" fillId="0" borderId="0" xfId="6" applyNumberFormat="1" applyFont="1" applyFill="1" applyBorder="1" applyAlignment="1">
      <alignment vertical="top"/>
    </xf>
    <xf numFmtId="9" fontId="168" fillId="0" borderId="0" xfId="8" applyFont="1" applyFill="1" applyBorder="1" applyAlignment="1">
      <alignment vertical="top"/>
    </xf>
    <xf numFmtId="9" fontId="168" fillId="0" borderId="0" xfId="8" applyFont="1" applyFill="1" applyBorder="1" applyAlignment="1">
      <alignment horizontal="right" vertical="top" wrapText="1"/>
    </xf>
    <xf numFmtId="44" fontId="20" fillId="0" borderId="0" xfId="6" applyFont="1" applyFill="1" applyBorder="1" applyAlignment="1" applyProtection="1">
      <alignment horizontal="right"/>
      <protection locked="0"/>
    </xf>
    <xf numFmtId="169" fontId="168" fillId="0" borderId="4" xfId="6" applyNumberFormat="1" applyFont="1" applyFill="1" applyBorder="1" applyAlignment="1">
      <alignment horizontal="center" vertical="center"/>
    </xf>
    <xf numFmtId="44" fontId="20" fillId="0" borderId="4" xfId="6" applyFont="1" applyFill="1" applyBorder="1" applyAlignment="1" applyProtection="1">
      <alignment horizontal="center" vertical="center"/>
      <protection locked="0"/>
    </xf>
    <xf numFmtId="44" fontId="168" fillId="6" borderId="4" xfId="6" applyNumberFormat="1" applyFont="1" applyFill="1" applyBorder="1" applyAlignment="1">
      <alignment horizontal="center" vertical="center"/>
    </xf>
    <xf numFmtId="169" fontId="168" fillId="6" borderId="4" xfId="6" applyNumberFormat="1" applyFont="1" applyFill="1" applyBorder="1" applyAlignment="1">
      <alignment horizontal="center" vertical="center"/>
    </xf>
    <xf numFmtId="169" fontId="168" fillId="7" borderId="4" xfId="6" applyNumberFormat="1" applyFont="1" applyFill="1" applyBorder="1" applyAlignment="1">
      <alignment horizontal="center" vertical="center"/>
    </xf>
    <xf numFmtId="170" fontId="168" fillId="6" borderId="4" xfId="7" applyNumberFormat="1" applyFont="1" applyFill="1" applyBorder="1" applyAlignment="1">
      <alignment horizontal="right" vertical="top" wrapText="1"/>
    </xf>
    <xf numFmtId="44" fontId="20" fillId="0" borderId="4" xfId="6" applyFont="1" applyBorder="1" applyAlignment="1" applyProtection="1">
      <alignment horizontal="center" vertical="center"/>
      <protection locked="0"/>
    </xf>
    <xf numFmtId="0" fontId="20" fillId="0" borderId="4" xfId="5" applyFont="1" applyBorder="1"/>
    <xf numFmtId="170" fontId="20" fillId="0" borderId="0" xfId="7" applyNumberFormat="1" applyFont="1"/>
    <xf numFmtId="170" fontId="20" fillId="0" borderId="0" xfId="7" applyNumberFormat="1" applyFont="1" applyBorder="1"/>
    <xf numFmtId="0" fontId="20" fillId="7" borderId="0" xfId="5" applyFont="1" applyFill="1"/>
    <xf numFmtId="9" fontId="20" fillId="0" borderId="0" xfId="8" applyFont="1"/>
    <xf numFmtId="0" fontId="20" fillId="0" borderId="0" xfId="5" applyFont="1" applyAlignment="1">
      <alignment wrapText="1"/>
    </xf>
    <xf numFmtId="0" fontId="20" fillId="7" borderId="0" xfId="5" applyFont="1" applyFill="1" applyAlignment="1">
      <alignment wrapText="1"/>
    </xf>
    <xf numFmtId="0" fontId="0" fillId="0" borderId="0" xfId="2" applyNumberFormat="1" applyFont="1"/>
    <xf numFmtId="44" fontId="0" fillId="3" borderId="1" xfId="3" applyNumberFormat="1" applyFont="1" applyFill="1" applyBorder="1" applyAlignment="1">
      <alignment horizontal="center" vertical="center"/>
    </xf>
    <xf numFmtId="0" fontId="0" fillId="0" borderId="118" xfId="0" applyBorder="1"/>
    <xf numFmtId="0" fontId="0" fillId="0" borderId="117" xfId="0" applyBorder="1" applyAlignment="1">
      <alignment horizontal="left" indent="1"/>
    </xf>
    <xf numFmtId="0" fontId="0" fillId="0" borderId="119" xfId="0" applyBorder="1" applyAlignment="1">
      <alignment horizontal="left" indent="2"/>
    </xf>
    <xf numFmtId="0" fontId="0" fillId="0" borderId="120" xfId="0" applyBorder="1"/>
    <xf numFmtId="201" fontId="0" fillId="0" borderId="0" xfId="2" applyNumberFormat="1" applyFont="1"/>
    <xf numFmtId="43" fontId="0" fillId="0" borderId="0" xfId="1" applyNumberFormat="1" applyFont="1"/>
    <xf numFmtId="1" fontId="21" fillId="0" borderId="0" xfId="0" applyNumberFormat="1" applyFont="1" applyBorder="1"/>
    <xf numFmtId="1" fontId="21" fillId="0" borderId="9" xfId="0" applyNumberFormat="1" applyFont="1" applyBorder="1"/>
    <xf numFmtId="1" fontId="0" fillId="0" borderId="0" xfId="0" applyNumberFormat="1" applyFont="1" applyBorder="1"/>
    <xf numFmtId="1" fontId="0" fillId="0" borderId="9" xfId="0" applyNumberFormat="1" applyFont="1" applyBorder="1"/>
    <xf numFmtId="1" fontId="92" fillId="57" borderId="29" xfId="0" applyNumberFormat="1" applyFont="1" applyFill="1" applyBorder="1"/>
    <xf numFmtId="1" fontId="92" fillId="57" borderId="47" xfId="0" applyNumberFormat="1" applyFont="1" applyFill="1" applyBorder="1"/>
    <xf numFmtId="0" fontId="0" fillId="0" borderId="9" xfId="0" applyBorder="1"/>
    <xf numFmtId="0" fontId="21" fillId="58" borderId="121" xfId="0" applyFont="1" applyFill="1" applyBorder="1"/>
    <xf numFmtId="0" fontId="21" fillId="58" borderId="122" xfId="0" applyFont="1" applyFill="1" applyBorder="1"/>
    <xf numFmtId="0" fontId="21" fillId="0" borderId="121" xfId="0" applyFont="1" applyBorder="1"/>
    <xf numFmtId="0" fontId="21" fillId="0" borderId="122" xfId="0" applyFont="1" applyBorder="1"/>
    <xf numFmtId="1" fontId="21" fillId="57" borderId="0" xfId="0" applyNumberFormat="1" applyFont="1" applyFill="1" applyBorder="1"/>
    <xf numFmtId="1" fontId="21" fillId="57" borderId="9" xfId="0" applyNumberFormat="1" applyFont="1" applyFill="1" applyBorder="1"/>
    <xf numFmtId="1" fontId="0" fillId="0" borderId="0" xfId="0" applyNumberFormat="1" applyFont="1" applyFill="1" applyBorder="1"/>
    <xf numFmtId="1" fontId="21" fillId="0" borderId="0" xfId="0" applyNumberFormat="1" applyFont="1" applyFill="1" applyBorder="1"/>
    <xf numFmtId="1" fontId="21" fillId="0" borderId="9" xfId="0" applyNumberFormat="1" applyFont="1" applyFill="1" applyBorder="1"/>
    <xf numFmtId="184" fontId="90" fillId="57" borderId="31" xfId="0" applyNumberFormat="1" applyFont="1" applyFill="1" applyBorder="1"/>
    <xf numFmtId="184" fontId="90" fillId="57" borderId="41" xfId="0" applyNumberFormat="1" applyFont="1" applyFill="1" applyBorder="1"/>
    <xf numFmtId="0" fontId="93" fillId="0" borderId="4" xfId="3089" applyNumberFormat="1" applyFont="1" applyBorder="1" applyAlignment="1">
      <alignment horizontal="right"/>
    </xf>
    <xf numFmtId="0" fontId="0" fillId="0" borderId="123" xfId="0" applyBorder="1" applyAlignment="1">
      <alignment horizontal="left" indent="1"/>
    </xf>
    <xf numFmtId="0" fontId="0" fillId="0" borderId="124" xfId="0" applyBorder="1"/>
    <xf numFmtId="0" fontId="0" fillId="0" borderId="123" xfId="0" applyBorder="1" applyAlignment="1">
      <alignment horizontal="left" wrapText="1" indent="1"/>
    </xf>
    <xf numFmtId="0" fontId="0" fillId="0" borderId="125" xfId="0" applyBorder="1" applyAlignment="1">
      <alignment horizontal="left" indent="1"/>
    </xf>
    <xf numFmtId="0" fontId="0" fillId="0" borderId="30" xfId="0" applyBorder="1"/>
    <xf numFmtId="0" fontId="0" fillId="0" borderId="0" xfId="0" applyAlignment="1">
      <alignment vertical="top"/>
    </xf>
    <xf numFmtId="0" fontId="0" fillId="0" borderId="123" xfId="0" applyBorder="1" applyAlignment="1">
      <alignment horizontal="left" vertical="top"/>
    </xf>
    <xf numFmtId="0" fontId="0" fillId="0" borderId="123" xfId="0" applyBorder="1" applyAlignment="1">
      <alignment vertical="top"/>
    </xf>
    <xf numFmtId="0" fontId="0" fillId="0" borderId="124" xfId="0" applyBorder="1" applyAlignment="1">
      <alignment vertical="top" wrapText="1"/>
    </xf>
    <xf numFmtId="0" fontId="0" fillId="0" borderId="125" xfId="0" applyBorder="1" applyAlignment="1">
      <alignment vertical="top"/>
    </xf>
    <xf numFmtId="0" fontId="0" fillId="0" borderId="30" xfId="0" applyBorder="1" applyAlignment="1">
      <alignment vertical="top" wrapText="1"/>
    </xf>
    <xf numFmtId="0" fontId="0" fillId="0" borderId="0" xfId="0" applyAlignment="1">
      <alignment vertical="top" wrapText="1"/>
    </xf>
    <xf numFmtId="0" fontId="0" fillId="0" borderId="123" xfId="0" applyBorder="1" applyAlignment="1">
      <alignment horizontal="left" vertical="top" indent="1"/>
    </xf>
    <xf numFmtId="0" fontId="0" fillId="0" borderId="39" xfId="0" applyBorder="1" applyAlignment="1">
      <alignment vertical="top"/>
    </xf>
    <xf numFmtId="0" fontId="0" fillId="0" borderId="32" xfId="0" applyBorder="1" applyAlignment="1">
      <alignment vertical="top"/>
    </xf>
    <xf numFmtId="0" fontId="0" fillId="0" borderId="123" xfId="0" applyFont="1" applyBorder="1" applyAlignment="1">
      <alignment horizontal="left"/>
    </xf>
    <xf numFmtId="9" fontId="0" fillId="0" borderId="124" xfId="2" applyFont="1" applyFill="1" applyBorder="1"/>
    <xf numFmtId="0" fontId="0" fillId="0" borderId="123" xfId="0" applyBorder="1"/>
    <xf numFmtId="0" fontId="0" fillId="0" borderId="123" xfId="0" applyBorder="1" applyAlignment="1">
      <alignment horizontal="left"/>
    </xf>
    <xf numFmtId="0" fontId="0" fillId="0" borderId="125" xfId="0" applyBorder="1" applyAlignment="1">
      <alignment horizontal="left"/>
    </xf>
    <xf numFmtId="9" fontId="0" fillId="0" borderId="30" xfId="2" applyFont="1" applyFill="1" applyBorder="1"/>
    <xf numFmtId="0" fontId="92" fillId="57" borderId="121" xfId="0" applyFont="1" applyFill="1" applyBorder="1" applyAlignment="1">
      <alignment horizontal="center" vertical="top"/>
    </xf>
    <xf numFmtId="0" fontId="92" fillId="57" borderId="122" xfId="0" applyFont="1" applyFill="1" applyBorder="1" applyAlignment="1">
      <alignment horizontal="center" vertical="top"/>
    </xf>
    <xf numFmtId="1" fontId="0" fillId="0" borderId="9" xfId="0" applyNumberFormat="1" applyFont="1" applyFill="1" applyBorder="1"/>
    <xf numFmtId="1" fontId="93" fillId="0" borderId="128" xfId="0" applyNumberFormat="1" applyFont="1" applyBorder="1"/>
    <xf numFmtId="1" fontId="93" fillId="0" borderId="127" xfId="0" applyNumberFormat="1" applyFont="1" applyBorder="1"/>
    <xf numFmtId="0" fontId="0" fillId="0" borderId="77" xfId="0" applyFill="1" applyBorder="1" applyAlignment="1">
      <alignment horizontal="left" vertical="top" wrapText="1" indent="3"/>
    </xf>
    <xf numFmtId="43" fontId="0" fillId="0" borderId="0" xfId="0" applyNumberFormat="1" applyAlignment="1">
      <alignment horizontal="left" indent="2"/>
    </xf>
    <xf numFmtId="0" fontId="0" fillId="0" borderId="78" xfId="0" applyBorder="1" applyAlignment="1"/>
    <xf numFmtId="0" fontId="0" fillId="0" borderId="129" xfId="0" applyFill="1" applyBorder="1" applyAlignment="1">
      <alignment horizontal="left" vertical="top" wrapText="1" indent="3"/>
    </xf>
    <xf numFmtId="0" fontId="0" fillId="0" borderId="79" xfId="0" applyBorder="1" applyAlignment="1"/>
    <xf numFmtId="0" fontId="0" fillId="0" borderId="0" xfId="0" applyProtection="1">
      <protection locked="0"/>
    </xf>
    <xf numFmtId="0" fontId="0" fillId="0" borderId="0" xfId="0" applyFill="1" applyProtection="1">
      <protection locked="0"/>
    </xf>
    <xf numFmtId="0" fontId="0" fillId="0" borderId="0" xfId="0" applyFill="1" applyBorder="1" applyAlignment="1" applyProtection="1">
      <alignment horizontal="left" indent="2"/>
      <protection locked="0"/>
    </xf>
    <xf numFmtId="0" fontId="0" fillId="0" borderId="0" xfId="0" applyAlignment="1" applyProtection="1">
      <alignment horizontal="left" indent="2"/>
      <protection locked="0"/>
    </xf>
    <xf numFmtId="0" fontId="0" fillId="0" borderId="124" xfId="0" applyFont="1" applyFill="1" applyBorder="1" applyAlignment="1">
      <alignment horizontal="center"/>
    </xf>
    <xf numFmtId="0" fontId="0" fillId="0" borderId="124" xfId="0" applyFont="1" applyBorder="1" applyAlignment="1">
      <alignment horizontal="center"/>
    </xf>
    <xf numFmtId="0" fontId="20" fillId="0" borderId="115" xfId="0" applyFont="1" applyBorder="1" applyAlignment="1">
      <alignment vertical="center" wrapText="1"/>
    </xf>
    <xf numFmtId="0" fontId="20" fillId="0" borderId="124" xfId="0" applyFont="1" applyBorder="1" applyAlignment="1">
      <alignment wrapText="1"/>
    </xf>
    <xf numFmtId="0" fontId="20" fillId="0" borderId="30" xfId="0" applyFont="1" applyBorder="1" applyAlignment="1">
      <alignment wrapText="1"/>
    </xf>
    <xf numFmtId="0" fontId="0" fillId="0" borderId="116" xfId="0" applyBorder="1" applyAlignment="1">
      <alignment vertical="center" wrapText="1"/>
    </xf>
    <xf numFmtId="0" fontId="0" fillId="0" borderId="124" xfId="0" applyBorder="1" applyAlignment="1">
      <alignment vertical="center" wrapText="1"/>
    </xf>
    <xf numFmtId="0" fontId="0" fillId="0" borderId="115" xfId="0" applyBorder="1" applyAlignment="1">
      <alignment vertical="center" wrapText="1"/>
    </xf>
    <xf numFmtId="0" fontId="0" fillId="0" borderId="130" xfId="0" applyBorder="1" applyAlignment="1">
      <alignment vertical="top"/>
    </xf>
    <xf numFmtId="0" fontId="169" fillId="0" borderId="62" xfId="0" applyFont="1" applyBorder="1" applyAlignment="1">
      <alignment vertical="center" wrapText="1"/>
    </xf>
    <xf numFmtId="0" fontId="0" fillId="0" borderId="37" xfId="0" applyBorder="1" applyAlignment="1">
      <alignment vertical="center" wrapText="1"/>
    </xf>
    <xf numFmtId="0" fontId="0" fillId="0" borderId="123" xfId="0" applyBorder="1" applyAlignment="1">
      <alignment vertical="top" wrapText="1"/>
    </xf>
    <xf numFmtId="0" fontId="0" fillId="0" borderId="0" xfId="0" applyBorder="1" applyProtection="1">
      <protection locked="0"/>
    </xf>
    <xf numFmtId="0" fontId="0" fillId="9" borderId="82" xfId="0" applyFill="1" applyBorder="1" applyProtection="1">
      <protection locked="0"/>
    </xf>
    <xf numFmtId="0" fontId="0" fillId="9" borderId="0" xfId="0" applyFill="1" applyBorder="1" applyProtection="1">
      <protection locked="0"/>
    </xf>
    <xf numFmtId="0" fontId="0" fillId="9" borderId="0" xfId="0" applyFill="1" applyProtection="1">
      <protection locked="0"/>
    </xf>
    <xf numFmtId="0" fontId="94" fillId="0" borderId="0" xfId="0" applyFont="1" applyProtection="1">
      <protection locked="0"/>
    </xf>
    <xf numFmtId="0" fontId="170" fillId="0" borderId="0" xfId="0" applyFont="1"/>
    <xf numFmtId="9" fontId="170" fillId="0" borderId="0" xfId="2" applyFont="1"/>
    <xf numFmtId="0" fontId="170" fillId="0" borderId="0" xfId="0" applyNumberFormat="1" applyFont="1"/>
    <xf numFmtId="2" fontId="170" fillId="0" borderId="0" xfId="0" applyNumberFormat="1" applyFont="1"/>
    <xf numFmtId="167" fontId="170" fillId="0" borderId="0" xfId="0" applyNumberFormat="1" applyFont="1"/>
    <xf numFmtId="191" fontId="170" fillId="0" borderId="0" xfId="3" applyNumberFormat="1" applyFont="1"/>
    <xf numFmtId="191" fontId="170" fillId="0" borderId="0" xfId="0" applyNumberFormat="1" applyFont="1"/>
    <xf numFmtId="9" fontId="170" fillId="0" borderId="0" xfId="0" applyNumberFormat="1" applyFont="1"/>
    <xf numFmtId="0" fontId="0" fillId="0" borderId="30" xfId="0" applyBorder="1" applyAlignment="1">
      <alignment vertical="center" wrapText="1"/>
    </xf>
    <xf numFmtId="0" fontId="20" fillId="0" borderId="30" xfId="0" applyFont="1" applyBorder="1" applyAlignment="1">
      <alignment vertical="center" wrapText="1"/>
    </xf>
    <xf numFmtId="0" fontId="20" fillId="0" borderId="124" xfId="0" applyFont="1" applyBorder="1" applyAlignment="1">
      <alignment vertical="center" wrapText="1"/>
    </xf>
    <xf numFmtId="0" fontId="20" fillId="0" borderId="38" xfId="0" applyFont="1" applyBorder="1" applyAlignment="1">
      <alignment vertical="center" wrapText="1"/>
    </xf>
    <xf numFmtId="0" fontId="20" fillId="0" borderId="33" xfId="0" applyFont="1" applyBorder="1" applyAlignment="1">
      <alignment vertical="center" wrapText="1"/>
    </xf>
    <xf numFmtId="0" fontId="0" fillId="0" borderId="125" xfId="0" applyBorder="1" applyAlignment="1">
      <alignment vertical="top" wrapText="1"/>
    </xf>
    <xf numFmtId="0" fontId="0" fillId="0" borderId="120" xfId="0" applyBorder="1" applyAlignment="1">
      <alignment horizontal="left" vertical="center" wrapText="1"/>
    </xf>
    <xf numFmtId="0" fontId="0" fillId="0" borderId="116" xfId="0" applyBorder="1" applyAlignment="1">
      <alignment wrapText="1"/>
    </xf>
    <xf numFmtId="0" fontId="0" fillId="0" borderId="131" xfId="0" applyBorder="1" applyAlignment="1">
      <alignment vertical="top"/>
    </xf>
    <xf numFmtId="0" fontId="0" fillId="0" borderId="130" xfId="0" applyBorder="1" applyAlignment="1">
      <alignment vertical="top" wrapText="1"/>
    </xf>
    <xf numFmtId="0" fontId="0" fillId="0" borderId="130" xfId="0" applyBorder="1" applyAlignment="1">
      <alignment horizontal="left" vertical="top" indent="2"/>
    </xf>
    <xf numFmtId="0" fontId="0" fillId="0" borderId="130" xfId="0" applyBorder="1" applyAlignment="1">
      <alignment horizontal="left" vertical="top" wrapText="1" indent="2"/>
    </xf>
    <xf numFmtId="0" fontId="0" fillId="0" borderId="130" xfId="0" applyBorder="1" applyAlignment="1">
      <alignment horizontal="left" vertical="top" wrapText="1"/>
    </xf>
    <xf numFmtId="0" fontId="0" fillId="0" borderId="130" xfId="0" applyBorder="1" applyAlignment="1">
      <alignment horizontal="left" vertical="top" indent="1"/>
    </xf>
    <xf numFmtId="0" fontId="0" fillId="0" borderId="131" xfId="0" applyBorder="1" applyAlignment="1">
      <alignment horizontal="left" vertical="top" indent="2"/>
    </xf>
    <xf numFmtId="0" fontId="0" fillId="0" borderId="131" xfId="0" applyBorder="1" applyAlignment="1">
      <alignment vertical="top" wrapText="1"/>
    </xf>
    <xf numFmtId="0" fontId="0" fillId="0" borderId="117" xfId="0" applyFill="1" applyBorder="1" applyAlignment="1" applyProtection="1">
      <alignment horizontal="left" indent="1"/>
      <protection locked="0"/>
    </xf>
    <xf numFmtId="0" fontId="0" fillId="3" borderId="1" xfId="0" applyFill="1" applyBorder="1" applyAlignment="1" applyProtection="1">
      <alignment horizontal="left" indent="2"/>
      <protection locked="0"/>
    </xf>
    <xf numFmtId="169" fontId="1" fillId="0" borderId="90" xfId="6" applyNumberFormat="1" applyFont="1" applyBorder="1" applyAlignment="1">
      <alignment horizontal="center"/>
    </xf>
    <xf numFmtId="0" fontId="5" fillId="0" borderId="90" xfId="5" applyFont="1" applyBorder="1" applyAlignment="1">
      <alignment horizontal="center"/>
    </xf>
    <xf numFmtId="0" fontId="5" fillId="0" borderId="90" xfId="5" applyFont="1" applyBorder="1" applyAlignment="1">
      <alignment horizontal="center" wrapText="1"/>
    </xf>
    <xf numFmtId="171" fontId="1" fillId="0" borderId="0" xfId="5" applyNumberFormat="1"/>
    <xf numFmtId="9" fontId="1" fillId="0" borderId="0" xfId="5" applyNumberFormat="1"/>
    <xf numFmtId="0" fontId="5" fillId="0" borderId="0" xfId="5" applyFont="1" applyAlignment="1">
      <alignment wrapText="1"/>
    </xf>
    <xf numFmtId="9" fontId="5" fillId="9" borderId="0" xfId="5" applyNumberFormat="1" applyFont="1" applyFill="1" applyAlignment="1">
      <alignment horizontal="center"/>
    </xf>
    <xf numFmtId="0" fontId="0" fillId="0" borderId="132" xfId="0" applyBorder="1" applyAlignment="1">
      <alignment horizontal="left" indent="1"/>
    </xf>
    <xf numFmtId="0" fontId="0" fillId="0" borderId="0" xfId="0"/>
    <xf numFmtId="0" fontId="91" fillId="0" borderId="0" xfId="0" applyFont="1" applyAlignment="1">
      <alignment vertical="top"/>
    </xf>
    <xf numFmtId="0" fontId="91" fillId="0" borderId="0" xfId="0" applyFont="1"/>
    <xf numFmtId="0" fontId="0" fillId="0" borderId="0" xfId="0" applyAlignment="1">
      <alignment vertical="top"/>
    </xf>
    <xf numFmtId="0" fontId="5" fillId="0" borderId="0" xfId="0" applyFont="1" applyAlignment="1">
      <alignment vertical="top"/>
    </xf>
    <xf numFmtId="0" fontId="0" fillId="0" borderId="0" xfId="0" applyAlignment="1">
      <alignment wrapText="1"/>
    </xf>
    <xf numFmtId="205" fontId="0" fillId="0" borderId="0" xfId="0" applyNumberFormat="1"/>
    <xf numFmtId="206" fontId="0" fillId="0" borderId="0" xfId="0" applyNumberFormat="1"/>
    <xf numFmtId="0" fontId="0" fillId="0" borderId="0" xfId="0" applyAlignment="1">
      <alignment vertical="center" wrapText="1"/>
    </xf>
    <xf numFmtId="0" fontId="0" fillId="0" borderId="0" xfId="0" applyAlignment="1">
      <alignment vertical="top" wrapText="1"/>
    </xf>
    <xf numFmtId="0" fontId="0" fillId="0" borderId="0" xfId="0" applyAlignment="1">
      <alignment horizontal="left" vertical="center" wrapText="1"/>
    </xf>
    <xf numFmtId="0" fontId="171" fillId="9" borderId="0" xfId="0" applyFont="1" applyFill="1" applyBorder="1" applyAlignment="1">
      <alignment horizontal="center" vertical="center"/>
    </xf>
    <xf numFmtId="0" fontId="104" fillId="0" borderId="80" xfId="0" applyFont="1" applyBorder="1" applyAlignment="1">
      <alignment horizontal="center"/>
    </xf>
    <xf numFmtId="0" fontId="104" fillId="0" borderId="81" xfId="0" applyFont="1" applyBorder="1" applyAlignment="1">
      <alignment horizontal="center"/>
    </xf>
    <xf numFmtId="0" fontId="104" fillId="0" borderId="80" xfId="0" applyFont="1" applyBorder="1" applyAlignment="1">
      <alignment horizontal="center" vertical="center"/>
    </xf>
    <xf numFmtId="0" fontId="117" fillId="0" borderId="81" xfId="0" applyFont="1" applyBorder="1" applyAlignment="1">
      <alignment horizontal="center" vertical="center"/>
    </xf>
    <xf numFmtId="0" fontId="14" fillId="0" borderId="75" xfId="0" applyFont="1" applyBorder="1" applyAlignment="1">
      <alignment horizontal="center"/>
    </xf>
    <xf numFmtId="0" fontId="14" fillId="0" borderId="76" xfId="0" applyFont="1" applyBorder="1" applyAlignment="1">
      <alignment horizontal="center"/>
    </xf>
    <xf numFmtId="0" fontId="14" fillId="0" borderId="52" xfId="0" applyFont="1" applyBorder="1" applyAlignment="1">
      <alignment horizontal="center"/>
    </xf>
    <xf numFmtId="0" fontId="14" fillId="0" borderId="53" xfId="0" applyFont="1" applyBorder="1" applyAlignment="1">
      <alignment horizontal="center"/>
    </xf>
    <xf numFmtId="0" fontId="0" fillId="0" borderId="39" xfId="0" applyBorder="1" applyAlignment="1">
      <alignment horizontal="left" vertical="top"/>
    </xf>
    <xf numFmtId="0" fontId="0" fillId="0" borderId="129" xfId="0" applyFill="1" applyBorder="1" applyAlignment="1">
      <alignment horizontal="left" vertical="top" wrapText="1" indent="3"/>
    </xf>
    <xf numFmtId="0" fontId="0" fillId="0" borderId="77" xfId="0" applyFill="1" applyBorder="1" applyAlignment="1">
      <alignment horizontal="left" vertical="top" wrapText="1" indent="3"/>
    </xf>
    <xf numFmtId="8" fontId="160" fillId="0" borderId="38" xfId="3" applyNumberFormat="1" applyFont="1" applyBorder="1" applyAlignment="1">
      <alignment horizontal="center" vertical="top"/>
    </xf>
    <xf numFmtId="8" fontId="160" fillId="0" borderId="33" xfId="3" applyNumberFormat="1" applyFont="1" applyBorder="1" applyAlignment="1">
      <alignment horizontal="center" vertical="top"/>
    </xf>
    <xf numFmtId="8" fontId="160" fillId="0" borderId="33" xfId="0" applyNumberFormat="1" applyFont="1" applyBorder="1" applyAlignment="1">
      <alignment horizontal="center"/>
    </xf>
    <xf numFmtId="0" fontId="160" fillId="0" borderId="33" xfId="0" applyFont="1" applyBorder="1" applyAlignment="1">
      <alignment horizontal="center"/>
    </xf>
    <xf numFmtId="0" fontId="160" fillId="0" borderId="62" xfId="0" applyFont="1" applyBorder="1" applyAlignment="1">
      <alignment horizontal="center"/>
    </xf>
    <xf numFmtId="0" fontId="160" fillId="0" borderId="40" xfId="0" applyFont="1" applyBorder="1" applyAlignment="1">
      <alignment horizontal="left" vertical="top" wrapText="1"/>
    </xf>
    <xf numFmtId="0" fontId="160" fillId="0" borderId="34" xfId="0" applyFont="1" applyBorder="1" applyAlignment="1">
      <alignment horizontal="left" vertical="top" wrapText="1"/>
    </xf>
    <xf numFmtId="0" fontId="160" fillId="0" borderId="32" xfId="0" applyFont="1" applyBorder="1" applyAlignment="1">
      <alignment horizontal="left" vertical="top" wrapText="1"/>
    </xf>
    <xf numFmtId="0" fontId="104" fillId="0" borderId="0" xfId="0" applyFont="1" applyBorder="1" applyAlignment="1">
      <alignment horizontal="center" vertical="top"/>
    </xf>
    <xf numFmtId="0" fontId="14" fillId="0" borderId="75" xfId="0" applyFont="1" applyBorder="1" applyAlignment="1">
      <alignment horizontal="center" vertical="top"/>
    </xf>
    <xf numFmtId="0" fontId="14" fillId="0" borderId="76" xfId="0" applyFont="1" applyBorder="1" applyAlignment="1">
      <alignment horizontal="center" vertical="top"/>
    </xf>
    <xf numFmtId="0" fontId="20" fillId="0" borderId="0" xfId="0" applyFont="1" applyBorder="1" applyAlignment="1">
      <alignment horizontal="left" vertical="top" wrapText="1"/>
    </xf>
    <xf numFmtId="0" fontId="0" fillId="0" borderId="0" xfId="5" applyFont="1" applyAlignment="1">
      <alignment horizontal="left" vertical="top" wrapText="1"/>
    </xf>
    <xf numFmtId="0" fontId="1" fillId="0" borderId="0" xfId="5" applyAlignment="1">
      <alignment horizontal="left" vertical="top" wrapText="1"/>
    </xf>
    <xf numFmtId="0" fontId="9" fillId="0" borderId="0" xfId="0" applyFont="1" applyAlignment="1">
      <alignment horizontal="center"/>
    </xf>
    <xf numFmtId="0" fontId="8" fillId="0" borderId="0" xfId="0" applyFont="1" applyFill="1" applyAlignment="1">
      <alignment horizontal="center"/>
    </xf>
    <xf numFmtId="168" fontId="8" fillId="0" borderId="0" xfId="0" quotePrefix="1" applyNumberFormat="1" applyFont="1" applyAlignment="1">
      <alignment horizontal="center"/>
    </xf>
    <xf numFmtId="168" fontId="8" fillId="0" borderId="0" xfId="0" applyNumberFormat="1" applyFont="1" applyAlignment="1">
      <alignment horizontal="center"/>
    </xf>
    <xf numFmtId="164" fontId="0" fillId="2" borderId="0" xfId="1" applyNumberFormat="1" applyFont="1" applyFill="1" applyAlignment="1">
      <alignment horizontal="center" vertical="center"/>
    </xf>
    <xf numFmtId="0" fontId="165" fillId="0" borderId="3" xfId="0" applyFont="1" applyBorder="1" applyAlignment="1">
      <alignment horizontal="center"/>
    </xf>
    <xf numFmtId="0" fontId="165" fillId="0" borderId="0" xfId="0" applyFont="1" applyAlignment="1">
      <alignment horizontal="center"/>
    </xf>
    <xf numFmtId="194" fontId="127" fillId="0" borderId="3" xfId="18639" applyNumberFormat="1" applyFont="1" applyBorder="1" applyAlignment="1" applyProtection="1">
      <alignment horizontal="center" vertical="center"/>
      <protection locked="0"/>
    </xf>
    <xf numFmtId="193" fontId="127" fillId="0" borderId="3" xfId="18639" applyNumberFormat="1" applyFont="1" applyBorder="1" applyAlignment="1" applyProtection="1">
      <alignment horizontal="center" vertical="center"/>
      <protection locked="0"/>
    </xf>
    <xf numFmtId="192" fontId="119" fillId="0" borderId="0" xfId="18639" applyFont="1" applyAlignment="1">
      <alignment horizontal="center"/>
    </xf>
    <xf numFmtId="192" fontId="121" fillId="0" borderId="0" xfId="18639" applyFont="1" applyAlignment="1">
      <alignment horizontal="center"/>
    </xf>
    <xf numFmtId="192" fontId="123" fillId="0" borderId="3" xfId="18639" applyFont="1" applyBorder="1" applyAlignment="1">
      <alignment horizontal="center" vertical="center"/>
    </xf>
    <xf numFmtId="1" fontId="125" fillId="0" borderId="8" xfId="18639" applyNumberFormat="1" applyFont="1" applyBorder="1" applyAlignment="1" applyProtection="1">
      <alignment horizontal="center" vertical="center"/>
      <protection locked="0"/>
    </xf>
    <xf numFmtId="192" fontId="126" fillId="0" borderId="0" xfId="18641" applyFont="1" applyAlignment="1"/>
    <xf numFmtId="192" fontId="125" fillId="0" borderId="8" xfId="18639" applyFont="1" applyBorder="1" applyAlignment="1">
      <alignment horizontal="center"/>
    </xf>
    <xf numFmtId="192" fontId="126" fillId="0" borderId="0" xfId="18641" applyFont="1" applyAlignment="1">
      <alignment horizontal="center"/>
    </xf>
    <xf numFmtId="192" fontId="126" fillId="0" borderId="9" xfId="18641" applyFont="1" applyBorder="1" applyAlignment="1">
      <alignment horizontal="center"/>
    </xf>
    <xf numFmtId="192" fontId="124" fillId="0" borderId="8" xfId="18639" applyFont="1" applyBorder="1" applyAlignment="1">
      <alignment horizontal="center"/>
    </xf>
    <xf numFmtId="192" fontId="124" fillId="0" borderId="9" xfId="18639" applyFont="1" applyBorder="1" applyAlignment="1">
      <alignment horizontal="center"/>
    </xf>
    <xf numFmtId="194" fontId="127" fillId="0" borderId="0" xfId="18639" applyNumberFormat="1" applyFont="1" applyBorder="1" applyAlignment="1" applyProtection="1">
      <alignment horizontal="center" vertical="center"/>
      <protection locked="0"/>
    </xf>
    <xf numFmtId="193" fontId="127" fillId="0" borderId="0" xfId="18639" applyNumberFormat="1" applyFont="1" applyBorder="1" applyAlignment="1" applyProtection="1">
      <alignment horizontal="center" vertical="center"/>
      <protection locked="0"/>
    </xf>
    <xf numFmtId="192" fontId="98" fillId="0" borderId="0" xfId="18641" applyAlignment="1"/>
    <xf numFmtId="192" fontId="15" fillId="0" borderId="0" xfId="18641" applyFont="1" applyBorder="1" applyAlignment="1">
      <alignment horizontal="left"/>
    </xf>
    <xf numFmtId="192" fontId="127" fillId="0" borderId="8" xfId="18639" applyFont="1" applyBorder="1" applyAlignment="1">
      <alignment horizontal="center"/>
    </xf>
    <xf numFmtId="192" fontId="127" fillId="0" borderId="9" xfId="18639" applyFont="1" applyBorder="1" applyAlignment="1">
      <alignment horizontal="center"/>
    </xf>
    <xf numFmtId="192" fontId="127" fillId="0" borderId="85" xfId="18639" applyFont="1" applyBorder="1" applyAlignment="1">
      <alignment horizontal="center"/>
    </xf>
    <xf numFmtId="192" fontId="127" fillId="0" borderId="88" xfId="18639" applyFont="1" applyBorder="1" applyAlignment="1">
      <alignment horizontal="center"/>
    </xf>
    <xf numFmtId="192" fontId="125" fillId="0" borderId="5" xfId="18639" applyFont="1" applyBorder="1" applyAlignment="1">
      <alignment horizontal="left"/>
    </xf>
    <xf numFmtId="192" fontId="98" fillId="0" borderId="82" xfId="18641" applyBorder="1" applyAlignment="1"/>
    <xf numFmtId="192" fontId="138" fillId="0" borderId="0" xfId="18639" applyFont="1" applyBorder="1" applyAlignment="1">
      <alignment horizontal="left" wrapText="1"/>
    </xf>
    <xf numFmtId="192" fontId="138" fillId="0" borderId="0" xfId="18639" applyFont="1" applyBorder="1" applyAlignment="1">
      <alignment horizontal="left" vertical="center" wrapText="1"/>
    </xf>
    <xf numFmtId="192" fontId="138" fillId="0" borderId="9" xfId="18639" applyFont="1" applyBorder="1" applyAlignment="1">
      <alignment horizontal="left" wrapText="1"/>
    </xf>
    <xf numFmtId="192" fontId="138" fillId="0" borderId="0" xfId="18641" applyFont="1" applyBorder="1" applyAlignment="1">
      <alignment horizontal="left" vertical="center"/>
    </xf>
    <xf numFmtId="195" fontId="144" fillId="0" borderId="34" xfId="18639" applyNumberFormat="1" applyFont="1" applyFill="1" applyBorder="1" applyAlignment="1" applyProtection="1">
      <alignment horizontal="center" vertical="justify"/>
      <protection locked="0"/>
    </xf>
    <xf numFmtId="195" fontId="144" fillId="0" borderId="0" xfId="18639" applyNumberFormat="1" applyFont="1" applyFill="1" applyBorder="1" applyAlignment="1" applyProtection="1">
      <alignment horizontal="center" vertical="justify"/>
      <protection locked="0"/>
    </xf>
    <xf numFmtId="195" fontId="144" fillId="0" borderId="33" xfId="18639" applyNumberFormat="1" applyFont="1" applyFill="1" applyBorder="1" applyAlignment="1" applyProtection="1">
      <alignment horizontal="center" vertical="justify"/>
      <protection locked="0"/>
    </xf>
    <xf numFmtId="195" fontId="145" fillId="0" borderId="96" xfId="18639" applyNumberFormat="1" applyFont="1" applyFill="1" applyBorder="1" applyAlignment="1" applyProtection="1">
      <alignment horizontal="center" vertical="top"/>
      <protection locked="0"/>
    </xf>
    <xf numFmtId="195" fontId="145" fillId="0" borderId="97" xfId="18639" applyNumberFormat="1" applyFont="1" applyFill="1" applyBorder="1" applyAlignment="1" applyProtection="1">
      <alignment horizontal="center" vertical="top"/>
      <protection locked="0"/>
    </xf>
    <xf numFmtId="195" fontId="145" fillId="0" borderId="98" xfId="18639" applyNumberFormat="1" applyFont="1" applyFill="1" applyBorder="1" applyAlignment="1" applyProtection="1">
      <alignment horizontal="center" vertical="top"/>
      <protection locked="0"/>
    </xf>
    <xf numFmtId="192" fontId="15" fillId="0" borderId="102" xfId="18641" applyFont="1" applyBorder="1" applyAlignment="1">
      <alignment horizontal="left"/>
    </xf>
    <xf numFmtId="2" fontId="155" fillId="0" borderId="40" xfId="18647" applyNumberFormat="1" applyFont="1" applyFill="1" applyBorder="1" applyAlignment="1" applyProtection="1">
      <alignment horizontal="center"/>
    </xf>
    <xf numFmtId="2" fontId="155" fillId="0" borderId="39" xfId="18647" applyNumberFormat="1" applyFont="1" applyFill="1" applyBorder="1" applyAlignment="1" applyProtection="1">
      <alignment horizontal="center"/>
    </xf>
    <xf numFmtId="0" fontId="159" fillId="0" borderId="40" xfId="0" applyFont="1" applyBorder="1" applyAlignment="1">
      <alignment horizontal="center" vertical="center" wrapText="1"/>
    </xf>
    <xf numFmtId="0" fontId="159" fillId="0" borderId="39" xfId="0" applyFont="1" applyBorder="1" applyAlignment="1">
      <alignment horizontal="center" vertical="center" wrapText="1"/>
    </xf>
    <xf numFmtId="0" fontId="159" fillId="0" borderId="38" xfId="0" applyFont="1" applyBorder="1" applyAlignment="1">
      <alignment horizontal="center" vertical="center" wrapText="1"/>
    </xf>
    <xf numFmtId="0" fontId="21" fillId="0" borderId="0" xfId="3089" applyFont="1" applyAlignment="1">
      <alignment horizontal="left" wrapText="1"/>
    </xf>
    <xf numFmtId="0" fontId="21" fillId="0" borderId="0" xfId="3089" applyFont="1" applyAlignment="1">
      <alignment horizontal="left" vertical="top" wrapText="1"/>
    </xf>
    <xf numFmtId="0" fontId="90" fillId="57" borderId="126" xfId="3089" applyFont="1" applyFill="1" applyBorder="1" applyAlignment="1">
      <alignment horizontal="center" vertical="center"/>
    </xf>
    <xf numFmtId="0" fontId="90" fillId="57" borderId="128" xfId="3089" applyFont="1" applyFill="1" applyBorder="1" applyAlignment="1">
      <alignment horizontal="center" vertical="center"/>
    </xf>
    <xf numFmtId="0" fontId="90" fillId="57" borderId="127" xfId="3089" applyFont="1" applyFill="1" applyBorder="1" applyAlignment="1">
      <alignment horizontal="center" vertical="center"/>
    </xf>
    <xf numFmtId="0" fontId="90" fillId="57" borderId="10" xfId="3089" applyFont="1" applyFill="1" applyBorder="1" applyAlignment="1">
      <alignment horizontal="center" vertical="center"/>
    </xf>
    <xf numFmtId="0" fontId="90" fillId="57" borderId="3" xfId="3089" applyFont="1" applyFill="1" applyBorder="1" applyAlignment="1">
      <alignment horizontal="center" vertical="center"/>
    </xf>
    <xf numFmtId="0" fontId="21" fillId="57" borderId="126" xfId="3089" applyFont="1" applyFill="1" applyBorder="1" applyAlignment="1">
      <alignment horizontal="center" vertical="center"/>
    </xf>
    <xf numFmtId="0" fontId="21" fillId="57" borderId="127" xfId="3089" applyFont="1" applyFill="1" applyBorder="1" applyAlignment="1">
      <alignment horizontal="center" vertical="center"/>
    </xf>
    <xf numFmtId="0" fontId="20" fillId="0" borderId="0" xfId="5" applyFont="1" applyFill="1" applyAlignment="1">
      <alignment horizontal="left" vertical="top" wrapText="1"/>
    </xf>
    <xf numFmtId="0" fontId="20" fillId="0" borderId="0" xfId="10" applyFont="1" applyBorder="1" applyAlignment="1">
      <alignment horizontal="left" wrapText="1"/>
    </xf>
    <xf numFmtId="0" fontId="19" fillId="0" borderId="0" xfId="10" applyFont="1" applyFill="1" applyBorder="1" applyAlignment="1">
      <alignment horizontal="left" wrapText="1"/>
    </xf>
    <xf numFmtId="0" fontId="0" fillId="3" borderId="1" xfId="0" applyFill="1" applyBorder="1" applyAlignment="1" applyProtection="1">
      <alignment horizontal="center" vertical="center"/>
      <protection locked="0"/>
    </xf>
  </cellXfs>
  <cellStyles count="18668">
    <cellStyle name="20% - Accent1 2" xfId="13"/>
    <cellStyle name="20% - Accent1 2 2" xfId="14"/>
    <cellStyle name="20% - Accent1 2 3" xfId="15"/>
    <cellStyle name="20% - Accent1 3" xfId="16"/>
    <cellStyle name="20% - Accent1 3 2" xfId="17"/>
    <cellStyle name="20% - Accent1 4" xfId="18"/>
    <cellStyle name="20% - Accent1 5" xfId="19"/>
    <cellStyle name="20% - Accent1 5 2" xfId="20"/>
    <cellStyle name="20% - Accent1 5 2 2" xfId="21"/>
    <cellStyle name="20% - Accent1 6" xfId="22"/>
    <cellStyle name="20% - Accent1 6 2" xfId="23"/>
    <cellStyle name="20% - Accent1 7" xfId="24"/>
    <cellStyle name="20% - Accent1 8" xfId="18009"/>
    <cellStyle name="20% - Accent2 2" xfId="25"/>
    <cellStyle name="20% - Accent2 2 2" xfId="26"/>
    <cellStyle name="20% - Accent2 2 3" xfId="27"/>
    <cellStyle name="20% - Accent2 3" xfId="28"/>
    <cellStyle name="20% - Accent2 3 2" xfId="29"/>
    <cellStyle name="20% - Accent2 4" xfId="30"/>
    <cellStyle name="20% - Accent2 5" xfId="31"/>
    <cellStyle name="20% - Accent2 5 2" xfId="32"/>
    <cellStyle name="20% - Accent2 5 2 2" xfId="33"/>
    <cellStyle name="20% - Accent2 6" xfId="34"/>
    <cellStyle name="20% - Accent2 6 2" xfId="35"/>
    <cellStyle name="20% - Accent2 7" xfId="36"/>
    <cellStyle name="20% - Accent2 8" xfId="18010"/>
    <cellStyle name="20% - Accent3 2" xfId="37"/>
    <cellStyle name="20% - Accent3 2 2" xfId="38"/>
    <cellStyle name="20% - Accent3 2 3" xfId="39"/>
    <cellStyle name="20% - Accent3 3" xfId="40"/>
    <cellStyle name="20% - Accent3 3 2" xfId="41"/>
    <cellStyle name="20% - Accent3 4" xfId="42"/>
    <cellStyle name="20% - Accent3 5" xfId="43"/>
    <cellStyle name="20% - Accent3 5 2" xfId="44"/>
    <cellStyle name="20% - Accent3 5 2 2" xfId="45"/>
    <cellStyle name="20% - Accent3 6" xfId="46"/>
    <cellStyle name="20% - Accent3 6 2" xfId="47"/>
    <cellStyle name="20% - Accent3 7" xfId="48"/>
    <cellStyle name="20% - Accent3 8" xfId="18011"/>
    <cellStyle name="20% - Accent4 2" xfId="49"/>
    <cellStyle name="20% - Accent4 2 2" xfId="50"/>
    <cellStyle name="20% - Accent4 2 3" xfId="51"/>
    <cellStyle name="20% - Accent4 3" xfId="52"/>
    <cellStyle name="20% - Accent4 3 2" xfId="53"/>
    <cellStyle name="20% - Accent4 4" xfId="54"/>
    <cellStyle name="20% - Accent4 5" xfId="55"/>
    <cellStyle name="20% - Accent4 5 2" xfId="56"/>
    <cellStyle name="20% - Accent4 5 2 2" xfId="57"/>
    <cellStyle name="20% - Accent4 6" xfId="58"/>
    <cellStyle name="20% - Accent4 6 2" xfId="59"/>
    <cellStyle name="20% - Accent4 7" xfId="60"/>
    <cellStyle name="20% - Accent4 8" xfId="18012"/>
    <cellStyle name="20% - Accent5 2" xfId="61"/>
    <cellStyle name="20% - Accent5 2 2" xfId="62"/>
    <cellStyle name="20% - Accent5 2 3" xfId="63"/>
    <cellStyle name="20% - Accent5 3" xfId="64"/>
    <cellStyle name="20% - Accent5 3 2" xfId="65"/>
    <cellStyle name="20% - Accent5 4" xfId="66"/>
    <cellStyle name="20% - Accent5 5" xfId="67"/>
    <cellStyle name="20% - Accent5 6" xfId="18013"/>
    <cellStyle name="20% - Accent6 2" xfId="68"/>
    <cellStyle name="20% - Accent6 2 2" xfId="69"/>
    <cellStyle name="20% - Accent6 2 3" xfId="70"/>
    <cellStyle name="20% - Accent6 3" xfId="71"/>
    <cellStyle name="20% - Accent6 3 2" xfId="72"/>
    <cellStyle name="20% - Accent6 4" xfId="73"/>
    <cellStyle name="20% - Accent6 5" xfId="74"/>
    <cellStyle name="20% - Accent6 6" xfId="18014"/>
    <cellStyle name="40% - Accent1 2" xfId="75"/>
    <cellStyle name="40% - Accent1 2 2" xfId="76"/>
    <cellStyle name="40% - Accent1 2 3" xfId="77"/>
    <cellStyle name="40% - Accent1 3" xfId="78"/>
    <cellStyle name="40% - Accent1 3 2" xfId="79"/>
    <cellStyle name="40% - Accent1 4" xfId="80"/>
    <cellStyle name="40% - Accent1 5" xfId="81"/>
    <cellStyle name="40% - Accent1 5 2" xfId="82"/>
    <cellStyle name="40% - Accent1 5 2 2" xfId="83"/>
    <cellStyle name="40% - Accent1 6" xfId="84"/>
    <cellStyle name="40% - Accent1 6 2" xfId="85"/>
    <cellStyle name="40% - Accent1 7" xfId="86"/>
    <cellStyle name="40% - Accent1 8" xfId="18015"/>
    <cellStyle name="40% - Accent2 2" xfId="87"/>
    <cellStyle name="40% - Accent2 2 2" xfId="88"/>
    <cellStyle name="40% - Accent2 2 3" xfId="89"/>
    <cellStyle name="40% - Accent2 3" xfId="90"/>
    <cellStyle name="40% - Accent2 3 2" xfId="91"/>
    <cellStyle name="40% - Accent2 4" xfId="92"/>
    <cellStyle name="40% - Accent2 5" xfId="93"/>
    <cellStyle name="40% - Accent2 6" xfId="18016"/>
    <cellStyle name="40% - Accent3 2" xfId="94"/>
    <cellStyle name="40% - Accent3 2 2" xfId="95"/>
    <cellStyle name="40% - Accent3 2 3" xfId="96"/>
    <cellStyle name="40% - Accent3 3" xfId="97"/>
    <cellStyle name="40% - Accent3 3 2" xfId="98"/>
    <cellStyle name="40% - Accent3 4" xfId="99"/>
    <cellStyle name="40% - Accent3 5" xfId="100"/>
    <cellStyle name="40% - Accent3 5 2" xfId="101"/>
    <cellStyle name="40% - Accent3 5 2 2" xfId="102"/>
    <cellStyle name="40% - Accent3 6" xfId="103"/>
    <cellStyle name="40% - Accent3 6 2" xfId="104"/>
    <cellStyle name="40% - Accent3 7" xfId="105"/>
    <cellStyle name="40% - Accent3 8" xfId="18017"/>
    <cellStyle name="40% - Accent4 2" xfId="106"/>
    <cellStyle name="40% - Accent4 2 2" xfId="107"/>
    <cellStyle name="40% - Accent4 2 3" xfId="108"/>
    <cellStyle name="40% - Accent4 3" xfId="109"/>
    <cellStyle name="40% - Accent4 3 2" xfId="110"/>
    <cellStyle name="40% - Accent4 4" xfId="111"/>
    <cellStyle name="40% - Accent4 5" xfId="112"/>
    <cellStyle name="40% - Accent4 5 2" xfId="113"/>
    <cellStyle name="40% - Accent4 5 2 2" xfId="114"/>
    <cellStyle name="40% - Accent4 6" xfId="115"/>
    <cellStyle name="40% - Accent4 6 2" xfId="116"/>
    <cellStyle name="40% - Accent4 7" xfId="117"/>
    <cellStyle name="40% - Accent4 8" xfId="18018"/>
    <cellStyle name="40% - Accent5 2" xfId="118"/>
    <cellStyle name="40% - Accent5 2 2" xfId="119"/>
    <cellStyle name="40% - Accent5 2 3" xfId="120"/>
    <cellStyle name="40% - Accent5 3" xfId="121"/>
    <cellStyle name="40% - Accent5 3 2" xfId="122"/>
    <cellStyle name="40% - Accent5 4" xfId="123"/>
    <cellStyle name="40% - Accent5 5" xfId="124"/>
    <cellStyle name="40% - Accent5 6" xfId="18019"/>
    <cellStyle name="40% - Accent6 2" xfId="125"/>
    <cellStyle name="40% - Accent6 2 2" xfId="126"/>
    <cellStyle name="40% - Accent6 2 3" xfId="127"/>
    <cellStyle name="40% - Accent6 3" xfId="128"/>
    <cellStyle name="40% - Accent6 3 2" xfId="129"/>
    <cellStyle name="40% - Accent6 4" xfId="130"/>
    <cellStyle name="40% - Accent6 5" xfId="131"/>
    <cellStyle name="40% - Accent6 5 2" xfId="132"/>
    <cellStyle name="40% - Accent6 5 2 2" xfId="133"/>
    <cellStyle name="40% - Accent6 6" xfId="134"/>
    <cellStyle name="40% - Accent6 6 2" xfId="135"/>
    <cellStyle name="40% - Accent6 7" xfId="136"/>
    <cellStyle name="40% - Accent6 8" xfId="18020"/>
    <cellStyle name="60% - Accent1 2" xfId="137"/>
    <cellStyle name="60% - Accent1 2 2" xfId="138"/>
    <cellStyle name="60% - Accent1 2 3" xfId="139"/>
    <cellStyle name="60% - Accent1 3" xfId="140"/>
    <cellStyle name="60% - Accent1 3 2" xfId="141"/>
    <cellStyle name="60% - Accent1 4" xfId="142"/>
    <cellStyle name="60% - Accent1 5" xfId="143"/>
    <cellStyle name="60% - Accent1 5 2" xfId="144"/>
    <cellStyle name="60% - Accent1 5 2 2" xfId="145"/>
    <cellStyle name="60% - Accent1 6" xfId="146"/>
    <cellStyle name="60% - Accent1 6 2" xfId="147"/>
    <cellStyle name="60% - Accent1 7" xfId="148"/>
    <cellStyle name="60% - Accent1 8" xfId="18021"/>
    <cellStyle name="60% - Accent2 2" xfId="149"/>
    <cellStyle name="60% - Accent2 2 2" xfId="150"/>
    <cellStyle name="60% - Accent2 2 3" xfId="151"/>
    <cellStyle name="60% - Accent2 3" xfId="152"/>
    <cellStyle name="60% - Accent2 3 2" xfId="153"/>
    <cellStyle name="60% - Accent2 4" xfId="154"/>
    <cellStyle name="60% - Accent2 5" xfId="155"/>
    <cellStyle name="60% - Accent2 5 2" xfId="156"/>
    <cellStyle name="60% - Accent2 5 2 2" xfId="157"/>
    <cellStyle name="60% - Accent2 6" xfId="158"/>
    <cellStyle name="60% - Accent2 6 2" xfId="159"/>
    <cellStyle name="60% - Accent2 7" xfId="160"/>
    <cellStyle name="60% - Accent2 8" xfId="18022"/>
    <cellStyle name="60% - Accent3 2" xfId="161"/>
    <cellStyle name="60% - Accent3 2 2" xfId="162"/>
    <cellStyle name="60% - Accent3 2 3" xfId="163"/>
    <cellStyle name="60% - Accent3 3" xfId="164"/>
    <cellStyle name="60% - Accent3 3 2" xfId="165"/>
    <cellStyle name="60% - Accent3 4" xfId="166"/>
    <cellStyle name="60% - Accent3 5" xfId="167"/>
    <cellStyle name="60% - Accent3 5 2" xfId="168"/>
    <cellStyle name="60% - Accent3 5 2 2" xfId="169"/>
    <cellStyle name="60% - Accent3 6" xfId="170"/>
    <cellStyle name="60% - Accent3 6 2" xfId="171"/>
    <cellStyle name="60% - Accent3 7" xfId="172"/>
    <cellStyle name="60% - Accent3 8" xfId="18023"/>
    <cellStyle name="60% - Accent4 2" xfId="173"/>
    <cellStyle name="60% - Accent4 2 2" xfId="174"/>
    <cellStyle name="60% - Accent4 2 3" xfId="175"/>
    <cellStyle name="60% - Accent4 3" xfId="176"/>
    <cellStyle name="60% - Accent4 3 2" xfId="177"/>
    <cellStyle name="60% - Accent4 4" xfId="178"/>
    <cellStyle name="60% - Accent4 5" xfId="179"/>
    <cellStyle name="60% - Accent4 5 2" xfId="180"/>
    <cellStyle name="60% - Accent4 5 2 2" xfId="181"/>
    <cellStyle name="60% - Accent4 6" xfId="182"/>
    <cellStyle name="60% - Accent4 6 2" xfId="183"/>
    <cellStyle name="60% - Accent4 7" xfId="184"/>
    <cellStyle name="60% - Accent4 8" xfId="18024"/>
    <cellStyle name="60% - Accent5 2" xfId="185"/>
    <cellStyle name="60% - Accent5 2 2" xfId="186"/>
    <cellStyle name="60% - Accent5 2 3" xfId="187"/>
    <cellStyle name="60% - Accent5 3" xfId="188"/>
    <cellStyle name="60% - Accent5 3 2" xfId="189"/>
    <cellStyle name="60% - Accent5 4" xfId="190"/>
    <cellStyle name="60% - Accent5 5" xfId="191"/>
    <cellStyle name="60% - Accent5 5 2" xfId="192"/>
    <cellStyle name="60% - Accent5 5 2 2" xfId="193"/>
    <cellStyle name="60% - Accent5 6" xfId="194"/>
    <cellStyle name="60% - Accent5 6 2" xfId="195"/>
    <cellStyle name="60% - Accent5 7" xfId="196"/>
    <cellStyle name="60% - Accent5 8" xfId="18025"/>
    <cellStyle name="60% - Accent6 2" xfId="197"/>
    <cellStyle name="60% - Accent6 2 2" xfId="198"/>
    <cellStyle name="60% - Accent6 2 3" xfId="199"/>
    <cellStyle name="60% - Accent6 3" xfId="200"/>
    <cellStyle name="60% - Accent6 3 2" xfId="201"/>
    <cellStyle name="60% - Accent6 4" xfId="202"/>
    <cellStyle name="60% - Accent6 5" xfId="203"/>
    <cellStyle name="60% - Accent6 5 2" xfId="204"/>
    <cellStyle name="60% - Accent6 5 2 2" xfId="205"/>
    <cellStyle name="60% - Accent6 6" xfId="206"/>
    <cellStyle name="60% - Accent6 6 2" xfId="207"/>
    <cellStyle name="60% - Accent6 7" xfId="208"/>
    <cellStyle name="60% - Accent6 8" xfId="18026"/>
    <cellStyle name="Accent1 - 20%" xfId="18027"/>
    <cellStyle name="Accent1 - 40%" xfId="18028"/>
    <cellStyle name="Accent1 - 60%" xfId="18029"/>
    <cellStyle name="Accent1 2" xfId="209"/>
    <cellStyle name="Accent1 2 2" xfId="210"/>
    <cellStyle name="Accent1 2 3" xfId="211"/>
    <cellStyle name="Accent1 3" xfId="212"/>
    <cellStyle name="Accent1 3 2" xfId="213"/>
    <cellStyle name="Accent1 4" xfId="214"/>
    <cellStyle name="Accent1 5" xfId="215"/>
    <cellStyle name="Accent1 5 2" xfId="216"/>
    <cellStyle name="Accent1 5 2 2" xfId="217"/>
    <cellStyle name="Accent1 6" xfId="218"/>
    <cellStyle name="Accent1 6 2" xfId="219"/>
    <cellStyle name="Accent1 7" xfId="220"/>
    <cellStyle name="Accent1 8" xfId="18030"/>
    <cellStyle name="Accent2 - 20%" xfId="18031"/>
    <cellStyle name="Accent2 - 40%" xfId="18032"/>
    <cellStyle name="Accent2 - 60%" xfId="18033"/>
    <cellStyle name="Accent2 2" xfId="221"/>
    <cellStyle name="Accent2 2 2" xfId="222"/>
    <cellStyle name="Accent2 2 3" xfId="223"/>
    <cellStyle name="Accent2 3" xfId="224"/>
    <cellStyle name="Accent2 3 2" xfId="225"/>
    <cellStyle name="Accent2 4" xfId="226"/>
    <cellStyle name="Accent2 5" xfId="227"/>
    <cellStyle name="Accent2 5 2" xfId="228"/>
    <cellStyle name="Accent2 5 2 2" xfId="229"/>
    <cellStyle name="Accent2 6" xfId="230"/>
    <cellStyle name="Accent2 6 2" xfId="231"/>
    <cellStyle name="Accent2 7" xfId="232"/>
    <cellStyle name="Accent2 8" xfId="18034"/>
    <cellStyle name="Accent3 - 20%" xfId="18035"/>
    <cellStyle name="Accent3 - 40%" xfId="18036"/>
    <cellStyle name="Accent3 - 60%" xfId="18037"/>
    <cellStyle name="Accent3 2" xfId="233"/>
    <cellStyle name="Accent3 2 2" xfId="234"/>
    <cellStyle name="Accent3 2 3" xfId="235"/>
    <cellStyle name="Accent3 3" xfId="236"/>
    <cellStyle name="Accent3 3 2" xfId="237"/>
    <cellStyle name="Accent3 4" xfId="238"/>
    <cellStyle name="Accent3 5" xfId="239"/>
    <cellStyle name="Accent3 5 2" xfId="240"/>
    <cellStyle name="Accent3 5 2 2" xfId="241"/>
    <cellStyle name="Accent3 6" xfId="242"/>
    <cellStyle name="Accent3 6 2" xfId="243"/>
    <cellStyle name="Accent3 7" xfId="244"/>
    <cellStyle name="Accent3 8" xfId="18038"/>
    <cellStyle name="Accent4 - 20%" xfId="18039"/>
    <cellStyle name="Accent4 - 40%" xfId="18040"/>
    <cellStyle name="Accent4 - 60%" xfId="18041"/>
    <cellStyle name="Accent4 2" xfId="245"/>
    <cellStyle name="Accent4 2 2" xfId="246"/>
    <cellStyle name="Accent4 2 3" xfId="247"/>
    <cellStyle name="Accent4 3" xfId="248"/>
    <cellStyle name="Accent4 3 2" xfId="249"/>
    <cellStyle name="Accent4 4" xfId="250"/>
    <cellStyle name="Accent4 5" xfId="251"/>
    <cellStyle name="Accent4 5 2" xfId="252"/>
    <cellStyle name="Accent4 5 2 2" xfId="253"/>
    <cellStyle name="Accent4 6" xfId="254"/>
    <cellStyle name="Accent4 6 2" xfId="255"/>
    <cellStyle name="Accent4 7" xfId="256"/>
    <cellStyle name="Accent4 8" xfId="18042"/>
    <cellStyle name="Accent5 - 20%" xfId="18043"/>
    <cellStyle name="Accent5 - 40%" xfId="18044"/>
    <cellStyle name="Accent5 - 60%" xfId="18045"/>
    <cellStyle name="Accent5 2" xfId="257"/>
    <cellStyle name="Accent5 2 2" xfId="258"/>
    <cellStyle name="Accent5 2 3" xfId="259"/>
    <cellStyle name="Accent5 3" xfId="260"/>
    <cellStyle name="Accent5 3 2" xfId="261"/>
    <cellStyle name="Accent5 4" xfId="262"/>
    <cellStyle name="Accent5 5" xfId="263"/>
    <cellStyle name="Accent5 5 2" xfId="264"/>
    <cellStyle name="Accent5 5 2 2" xfId="265"/>
    <cellStyle name="Accent5 6" xfId="266"/>
    <cellStyle name="Accent5 6 2" xfId="267"/>
    <cellStyle name="Accent5 7" xfId="268"/>
    <cellStyle name="Accent5 8" xfId="18046"/>
    <cellStyle name="Accent6 - 20%" xfId="18047"/>
    <cellStyle name="Accent6 - 40%" xfId="18048"/>
    <cellStyle name="Accent6 - 60%" xfId="18049"/>
    <cellStyle name="Accent6 2" xfId="269"/>
    <cellStyle name="Accent6 2 2" xfId="270"/>
    <cellStyle name="Accent6 2 3" xfId="271"/>
    <cellStyle name="Accent6 3" xfId="272"/>
    <cellStyle name="Accent6 3 2" xfId="273"/>
    <cellStyle name="Accent6 4" xfId="274"/>
    <cellStyle name="Accent6 5" xfId="275"/>
    <cellStyle name="Accent6 5 2" xfId="276"/>
    <cellStyle name="Accent6 5 2 2" xfId="277"/>
    <cellStyle name="Accent6 6" xfId="278"/>
    <cellStyle name="Accent6 6 2" xfId="279"/>
    <cellStyle name="Accent6 7" xfId="280"/>
    <cellStyle name="Accent6 8" xfId="18050"/>
    <cellStyle name="Actual" xfId="281"/>
    <cellStyle name="Actual 2" xfId="282"/>
    <cellStyle name="Actual 2 2" xfId="283"/>
    <cellStyle name="Actual 3" xfId="284"/>
    <cellStyle name="Actual 3 2" xfId="18051"/>
    <cellStyle name="Actual 4" xfId="18052"/>
    <cellStyle name="Adjustable" xfId="18053"/>
    <cellStyle name="AFE" xfId="4"/>
    <cellStyle name="AFE 10" xfId="285"/>
    <cellStyle name="AFE 10 10" xfId="286"/>
    <cellStyle name="AFE 10 11" xfId="287"/>
    <cellStyle name="AFE 10 12" xfId="288"/>
    <cellStyle name="AFE 10 13" xfId="289"/>
    <cellStyle name="AFE 10 14" xfId="290"/>
    <cellStyle name="AFE 10 15" xfId="291"/>
    <cellStyle name="AFE 10 16" xfId="292"/>
    <cellStyle name="AFE 10 17" xfId="293"/>
    <cellStyle name="AFE 10 18" xfId="294"/>
    <cellStyle name="AFE 10 19" xfId="295"/>
    <cellStyle name="AFE 10 2" xfId="296"/>
    <cellStyle name="AFE 10 20" xfId="297"/>
    <cellStyle name="AFE 10 21" xfId="298"/>
    <cellStyle name="AFE 10 22" xfId="299"/>
    <cellStyle name="AFE 10 23" xfId="300"/>
    <cellStyle name="AFE 10 24" xfId="301"/>
    <cellStyle name="AFE 10 3" xfId="302"/>
    <cellStyle name="AFE 10 4" xfId="303"/>
    <cellStyle name="AFE 10 5" xfId="304"/>
    <cellStyle name="AFE 10 6" xfId="305"/>
    <cellStyle name="AFE 10 7" xfId="306"/>
    <cellStyle name="AFE 10 8" xfId="307"/>
    <cellStyle name="AFE 10 9" xfId="308"/>
    <cellStyle name="AFE 11" xfId="309"/>
    <cellStyle name="AFE 11 10" xfId="310"/>
    <cellStyle name="AFE 11 11" xfId="311"/>
    <cellStyle name="AFE 11 12" xfId="312"/>
    <cellStyle name="AFE 11 13" xfId="313"/>
    <cellStyle name="AFE 11 14" xfId="314"/>
    <cellStyle name="AFE 11 15" xfId="315"/>
    <cellStyle name="AFE 11 16" xfId="316"/>
    <cellStyle name="AFE 11 17" xfId="317"/>
    <cellStyle name="AFE 11 18" xfId="318"/>
    <cellStyle name="AFE 11 19" xfId="319"/>
    <cellStyle name="AFE 11 2" xfId="320"/>
    <cellStyle name="AFE 11 20" xfId="321"/>
    <cellStyle name="AFE 11 21" xfId="322"/>
    <cellStyle name="AFE 11 22" xfId="323"/>
    <cellStyle name="AFE 11 23" xfId="324"/>
    <cellStyle name="AFE 11 24" xfId="325"/>
    <cellStyle name="AFE 11 3" xfId="326"/>
    <cellStyle name="AFE 11 4" xfId="327"/>
    <cellStyle name="AFE 11 5" xfId="328"/>
    <cellStyle name="AFE 11 6" xfId="329"/>
    <cellStyle name="AFE 11 7" xfId="330"/>
    <cellStyle name="AFE 11 8" xfId="331"/>
    <cellStyle name="AFE 11 9" xfId="332"/>
    <cellStyle name="AFE 12" xfId="333"/>
    <cellStyle name="AFE 12 10" xfId="334"/>
    <cellStyle name="AFE 12 11" xfId="335"/>
    <cellStyle name="AFE 12 12" xfId="336"/>
    <cellStyle name="AFE 12 13" xfId="337"/>
    <cellStyle name="AFE 12 14" xfId="338"/>
    <cellStyle name="AFE 12 15" xfId="339"/>
    <cellStyle name="AFE 12 16" xfId="340"/>
    <cellStyle name="AFE 12 17" xfId="341"/>
    <cellStyle name="AFE 12 18" xfId="342"/>
    <cellStyle name="AFE 12 19" xfId="343"/>
    <cellStyle name="AFE 12 2" xfId="344"/>
    <cellStyle name="AFE 12 20" xfId="345"/>
    <cellStyle name="AFE 12 21" xfId="346"/>
    <cellStyle name="AFE 12 22" xfId="347"/>
    <cellStyle name="AFE 12 23" xfId="348"/>
    <cellStyle name="AFE 12 24" xfId="349"/>
    <cellStyle name="AFE 12 3" xfId="350"/>
    <cellStyle name="AFE 12 4" xfId="351"/>
    <cellStyle name="AFE 12 5" xfId="352"/>
    <cellStyle name="AFE 12 6" xfId="353"/>
    <cellStyle name="AFE 12 7" xfId="354"/>
    <cellStyle name="AFE 12 8" xfId="355"/>
    <cellStyle name="AFE 12 9" xfId="356"/>
    <cellStyle name="AFE 13" xfId="357"/>
    <cellStyle name="AFE 13 10" xfId="358"/>
    <cellStyle name="AFE 13 11" xfId="359"/>
    <cellStyle name="AFE 13 12" xfId="360"/>
    <cellStyle name="AFE 13 13" xfId="361"/>
    <cellStyle name="AFE 13 14" xfId="362"/>
    <cellStyle name="AFE 13 15" xfId="363"/>
    <cellStyle name="AFE 13 16" xfId="364"/>
    <cellStyle name="AFE 13 17" xfId="365"/>
    <cellStyle name="AFE 13 18" xfId="366"/>
    <cellStyle name="AFE 13 19" xfId="367"/>
    <cellStyle name="AFE 13 2" xfId="368"/>
    <cellStyle name="AFE 13 20" xfId="369"/>
    <cellStyle name="AFE 13 21" xfId="370"/>
    <cellStyle name="AFE 13 22" xfId="371"/>
    <cellStyle name="AFE 13 23" xfId="372"/>
    <cellStyle name="AFE 13 24" xfId="373"/>
    <cellStyle name="AFE 13 3" xfId="374"/>
    <cellStyle name="AFE 13 4" xfId="375"/>
    <cellStyle name="AFE 13 5" xfId="376"/>
    <cellStyle name="AFE 13 6" xfId="377"/>
    <cellStyle name="AFE 13 7" xfId="378"/>
    <cellStyle name="AFE 13 8" xfId="379"/>
    <cellStyle name="AFE 13 9" xfId="380"/>
    <cellStyle name="AFE 14" xfId="381"/>
    <cellStyle name="AFE 15" xfId="382"/>
    <cellStyle name="AFE 15 2" xfId="383"/>
    <cellStyle name="AFE 16" xfId="384"/>
    <cellStyle name="AFE 17" xfId="385"/>
    <cellStyle name="AFE 17 2" xfId="386"/>
    <cellStyle name="AFE 18" xfId="387"/>
    <cellStyle name="AFE 18 2" xfId="388"/>
    <cellStyle name="AFE 19" xfId="389"/>
    <cellStyle name="AFE 2" xfId="390"/>
    <cellStyle name="AFE 2 10" xfId="391"/>
    <cellStyle name="AFE 2 11" xfId="392"/>
    <cellStyle name="AFE 2 12" xfId="393"/>
    <cellStyle name="AFE 2 13" xfId="394"/>
    <cellStyle name="AFE 2 14" xfId="395"/>
    <cellStyle name="AFE 2 15" xfId="396"/>
    <cellStyle name="AFE 2 16" xfId="397"/>
    <cellStyle name="AFE 2 17" xfId="398"/>
    <cellStyle name="AFE 2 18" xfId="399"/>
    <cellStyle name="AFE 2 19" xfId="400"/>
    <cellStyle name="AFE 2 2" xfId="401"/>
    <cellStyle name="AFE 2 2 2" xfId="402"/>
    <cellStyle name="AFE 2 2 3" xfId="403"/>
    <cellStyle name="AFE 2 2 3 2" xfId="404"/>
    <cellStyle name="AFE 2 2 4" xfId="405"/>
    <cellStyle name="AFE 2 20" xfId="406"/>
    <cellStyle name="AFE 2 21" xfId="407"/>
    <cellStyle name="AFE 2 22" xfId="408"/>
    <cellStyle name="AFE 2 23" xfId="409"/>
    <cellStyle name="AFE 2 24" xfId="410"/>
    <cellStyle name="AFE 2 25" xfId="411"/>
    <cellStyle name="AFE 2 26" xfId="412"/>
    <cellStyle name="AFE 2 27" xfId="413"/>
    <cellStyle name="AFE 2 28" xfId="414"/>
    <cellStyle name="AFE 2 29" xfId="415"/>
    <cellStyle name="AFE 2 3" xfId="416"/>
    <cellStyle name="AFE 2 30" xfId="417"/>
    <cellStyle name="AFE 2 31" xfId="418"/>
    <cellStyle name="AFE 2 32" xfId="419"/>
    <cellStyle name="AFE 2 33" xfId="420"/>
    <cellStyle name="AFE 2 34" xfId="421"/>
    <cellStyle name="AFE 2 35" xfId="422"/>
    <cellStyle name="AFE 2 36" xfId="423"/>
    <cellStyle name="AFE 2 37" xfId="424"/>
    <cellStyle name="AFE 2 38" xfId="425"/>
    <cellStyle name="AFE 2 39" xfId="426"/>
    <cellStyle name="AFE 2 4" xfId="427"/>
    <cellStyle name="AFE 2 40" xfId="428"/>
    <cellStyle name="AFE 2 41" xfId="429"/>
    <cellStyle name="AFE 2 42" xfId="430"/>
    <cellStyle name="AFE 2 43" xfId="431"/>
    <cellStyle name="AFE 2 44" xfId="432"/>
    <cellStyle name="AFE 2 45" xfId="433"/>
    <cellStyle name="AFE 2 46" xfId="434"/>
    <cellStyle name="AFE 2 47" xfId="435"/>
    <cellStyle name="AFE 2 48" xfId="436"/>
    <cellStyle name="AFE 2 49" xfId="437"/>
    <cellStyle name="AFE 2 5" xfId="438"/>
    <cellStyle name="AFE 2 50" xfId="439"/>
    <cellStyle name="AFE 2 51" xfId="440"/>
    <cellStyle name="AFE 2 52" xfId="441"/>
    <cellStyle name="AFE 2 53" xfId="442"/>
    <cellStyle name="AFE 2 54" xfId="443"/>
    <cellStyle name="AFE 2 55" xfId="444"/>
    <cellStyle name="AFE 2 56" xfId="445"/>
    <cellStyle name="AFE 2 57" xfId="446"/>
    <cellStyle name="AFE 2 58" xfId="447"/>
    <cellStyle name="AFE 2 59" xfId="448"/>
    <cellStyle name="AFE 2 6" xfId="449"/>
    <cellStyle name="AFE 2 60" xfId="450"/>
    <cellStyle name="AFE 2 61" xfId="451"/>
    <cellStyle name="AFE 2 62" xfId="452"/>
    <cellStyle name="AFE 2 63" xfId="453"/>
    <cellStyle name="AFE 2 64" xfId="454"/>
    <cellStyle name="AFE 2 65" xfId="455"/>
    <cellStyle name="AFE 2 66" xfId="456"/>
    <cellStyle name="AFE 2 67" xfId="457"/>
    <cellStyle name="AFE 2 7" xfId="458"/>
    <cellStyle name="AFE 2 8" xfId="459"/>
    <cellStyle name="AFE 2 9" xfId="460"/>
    <cellStyle name="AFE 2_FC &amp; rpt costs" xfId="461"/>
    <cellStyle name="AFE 20" xfId="462"/>
    <cellStyle name="AFE 21" xfId="463"/>
    <cellStyle name="AFE 22" xfId="464"/>
    <cellStyle name="AFE 23" xfId="465"/>
    <cellStyle name="AFE 24" xfId="466"/>
    <cellStyle name="AFE 25" xfId="467"/>
    <cellStyle name="AFE 26" xfId="468"/>
    <cellStyle name="AFE 27" xfId="469"/>
    <cellStyle name="AFE 28" xfId="470"/>
    <cellStyle name="AFE 29" xfId="471"/>
    <cellStyle name="AFE 3" xfId="472"/>
    <cellStyle name="AFE 3 2" xfId="473"/>
    <cellStyle name="AFE 3 2 2" xfId="474"/>
    <cellStyle name="AFE 3 3" xfId="475"/>
    <cellStyle name="AFE 3 3 2" xfId="476"/>
    <cellStyle name="AFE 3 4" xfId="477"/>
    <cellStyle name="AFE 3 4 2" xfId="478"/>
    <cellStyle name="AFE 3 5" xfId="479"/>
    <cellStyle name="AFE 3 6" xfId="480"/>
    <cellStyle name="AFE 3 7" xfId="481"/>
    <cellStyle name="AFE 3 8" xfId="18054"/>
    <cellStyle name="AFE 30" xfId="482"/>
    <cellStyle name="AFE 31" xfId="483"/>
    <cellStyle name="AFE 32" xfId="484"/>
    <cellStyle name="AFE 33" xfId="485"/>
    <cellStyle name="AFE 33 2" xfId="486"/>
    <cellStyle name="AFE 34" xfId="487"/>
    <cellStyle name="AFE 34 2" xfId="488"/>
    <cellStyle name="AFE 35" xfId="489"/>
    <cellStyle name="AFE 36" xfId="490"/>
    <cellStyle name="AFE 37" xfId="491"/>
    <cellStyle name="AFE 38" xfId="492"/>
    <cellStyle name="AFE 39" xfId="493"/>
    <cellStyle name="AFE 4" xfId="494"/>
    <cellStyle name="AFE 4 10" xfId="495"/>
    <cellStyle name="AFE 4 11" xfId="496"/>
    <cellStyle name="AFE 4 12" xfId="497"/>
    <cellStyle name="AFE 4 13" xfId="498"/>
    <cellStyle name="AFE 4 14" xfId="499"/>
    <cellStyle name="AFE 4 15" xfId="500"/>
    <cellStyle name="AFE 4 16" xfId="501"/>
    <cellStyle name="AFE 4 17" xfId="502"/>
    <cellStyle name="AFE 4 18" xfId="503"/>
    <cellStyle name="AFE 4 19" xfId="504"/>
    <cellStyle name="AFE 4 2" xfId="505"/>
    <cellStyle name="AFE 4 2 10" xfId="506"/>
    <cellStyle name="AFE 4 2 11" xfId="507"/>
    <cellStyle name="AFE 4 2 12" xfId="508"/>
    <cellStyle name="AFE 4 2 13" xfId="509"/>
    <cellStyle name="AFE 4 2 14" xfId="510"/>
    <cellStyle name="AFE 4 2 15" xfId="511"/>
    <cellStyle name="AFE 4 2 16" xfId="512"/>
    <cellStyle name="AFE 4 2 17" xfId="513"/>
    <cellStyle name="AFE 4 2 18" xfId="514"/>
    <cellStyle name="AFE 4 2 19" xfId="515"/>
    <cellStyle name="AFE 4 2 2" xfId="516"/>
    <cellStyle name="AFE 4 2 20" xfId="517"/>
    <cellStyle name="AFE 4 2 21" xfId="518"/>
    <cellStyle name="AFE 4 2 22" xfId="519"/>
    <cellStyle name="AFE 4 2 23" xfId="520"/>
    <cellStyle name="AFE 4 2 24" xfId="521"/>
    <cellStyle name="AFE 4 2 25" xfId="522"/>
    <cellStyle name="AFE 4 2 26" xfId="523"/>
    <cellStyle name="AFE 4 2 27" xfId="524"/>
    <cellStyle name="AFE 4 2 28" xfId="525"/>
    <cellStyle name="AFE 4 2 29" xfId="526"/>
    <cellStyle name="AFE 4 2 3" xfId="527"/>
    <cellStyle name="AFE 4 2 30" xfId="528"/>
    <cellStyle name="AFE 4 2 31" xfId="529"/>
    <cellStyle name="AFE 4 2 32" xfId="530"/>
    <cellStyle name="AFE 4 2 4" xfId="531"/>
    <cellStyle name="AFE 4 2 5" xfId="532"/>
    <cellStyle name="AFE 4 2 6" xfId="533"/>
    <cellStyle name="AFE 4 2 7" xfId="534"/>
    <cellStyle name="AFE 4 2 8" xfId="535"/>
    <cellStyle name="AFE 4 2 9" xfId="536"/>
    <cellStyle name="AFE 4 20" xfId="537"/>
    <cellStyle name="AFE 4 21" xfId="538"/>
    <cellStyle name="AFE 4 22" xfId="539"/>
    <cellStyle name="AFE 4 23" xfId="540"/>
    <cellStyle name="AFE 4 24" xfId="541"/>
    <cellStyle name="AFE 4 25" xfId="542"/>
    <cellStyle name="AFE 4 26" xfId="543"/>
    <cellStyle name="AFE 4 27" xfId="544"/>
    <cellStyle name="AFE 4 28" xfId="545"/>
    <cellStyle name="AFE 4 29" xfId="546"/>
    <cellStyle name="AFE 4 3" xfId="547"/>
    <cellStyle name="AFE 4 3 10" xfId="548"/>
    <cellStyle name="AFE 4 3 11" xfId="549"/>
    <cellStyle name="AFE 4 3 12" xfId="550"/>
    <cellStyle name="AFE 4 3 13" xfId="551"/>
    <cellStyle name="AFE 4 3 14" xfId="552"/>
    <cellStyle name="AFE 4 3 15" xfId="553"/>
    <cellStyle name="AFE 4 3 16" xfId="554"/>
    <cellStyle name="AFE 4 3 17" xfId="555"/>
    <cellStyle name="AFE 4 3 18" xfId="556"/>
    <cellStyle name="AFE 4 3 19" xfId="557"/>
    <cellStyle name="AFE 4 3 2" xfId="558"/>
    <cellStyle name="AFE 4 3 20" xfId="559"/>
    <cellStyle name="AFE 4 3 21" xfId="560"/>
    <cellStyle name="AFE 4 3 22" xfId="561"/>
    <cellStyle name="AFE 4 3 23" xfId="562"/>
    <cellStyle name="AFE 4 3 3" xfId="563"/>
    <cellStyle name="AFE 4 3 4" xfId="564"/>
    <cellStyle name="AFE 4 3 5" xfId="565"/>
    <cellStyle name="AFE 4 3 6" xfId="566"/>
    <cellStyle name="AFE 4 3 7" xfId="567"/>
    <cellStyle name="AFE 4 3 8" xfId="568"/>
    <cellStyle name="AFE 4 3 9" xfId="569"/>
    <cellStyle name="AFE 4 30" xfId="570"/>
    <cellStyle name="AFE 4 31" xfId="571"/>
    <cellStyle name="AFE 4 4" xfId="572"/>
    <cellStyle name="AFE 4 5" xfId="573"/>
    <cellStyle name="AFE 4 5 2" xfId="574"/>
    <cellStyle name="AFE 4 6" xfId="575"/>
    <cellStyle name="AFE 4 6 2" xfId="576"/>
    <cellStyle name="AFE 4 6 3" xfId="577"/>
    <cellStyle name="AFE 4 7" xfId="578"/>
    <cellStyle name="AFE 4 8" xfId="579"/>
    <cellStyle name="AFE 4 9" xfId="580"/>
    <cellStyle name="AFE 40" xfId="581"/>
    <cellStyle name="AFE 41" xfId="582"/>
    <cellStyle name="AFE 42" xfId="583"/>
    <cellStyle name="AFE 43" xfId="584"/>
    <cellStyle name="AFE 44" xfId="585"/>
    <cellStyle name="AFE 45" xfId="586"/>
    <cellStyle name="AFE 46" xfId="587"/>
    <cellStyle name="AFE 47" xfId="588"/>
    <cellStyle name="AFE 48" xfId="589"/>
    <cellStyle name="AFE 49" xfId="590"/>
    <cellStyle name="AFE 5" xfId="591"/>
    <cellStyle name="AFE 50" xfId="592"/>
    <cellStyle name="AFE 51" xfId="593"/>
    <cellStyle name="AFE 52" xfId="594"/>
    <cellStyle name="AFE 53" xfId="595"/>
    <cellStyle name="AFE 54" xfId="596"/>
    <cellStyle name="AFE 55" xfId="18055"/>
    <cellStyle name="AFE 56" xfId="18056"/>
    <cellStyle name="AFE 6" xfId="597"/>
    <cellStyle name="AFE 6 2" xfId="598"/>
    <cellStyle name="AFE 7" xfId="599"/>
    <cellStyle name="AFE 7 10" xfId="600"/>
    <cellStyle name="AFE 7 11" xfId="601"/>
    <cellStyle name="AFE 7 12" xfId="602"/>
    <cellStyle name="AFE 7 13" xfId="603"/>
    <cellStyle name="AFE 7 14" xfId="604"/>
    <cellStyle name="AFE 7 15" xfId="605"/>
    <cellStyle name="AFE 7 16" xfId="606"/>
    <cellStyle name="AFE 7 17" xfId="607"/>
    <cellStyle name="AFE 7 18" xfId="608"/>
    <cellStyle name="AFE 7 19" xfId="609"/>
    <cellStyle name="AFE 7 2" xfId="610"/>
    <cellStyle name="AFE 7 20" xfId="611"/>
    <cellStyle name="AFE 7 21" xfId="612"/>
    <cellStyle name="AFE 7 22" xfId="613"/>
    <cellStyle name="AFE 7 23" xfId="614"/>
    <cellStyle name="AFE 7 24" xfId="615"/>
    <cellStyle name="AFE 7 25" xfId="616"/>
    <cellStyle name="AFE 7 26" xfId="617"/>
    <cellStyle name="AFE 7 27" xfId="618"/>
    <cellStyle name="AFE 7 28" xfId="619"/>
    <cellStyle name="AFE 7 29" xfId="620"/>
    <cellStyle name="AFE 7 3" xfId="621"/>
    <cellStyle name="AFE 7 30" xfId="622"/>
    <cellStyle name="AFE 7 31" xfId="623"/>
    <cellStyle name="AFE 7 32" xfId="624"/>
    <cellStyle name="AFE 7 4" xfId="625"/>
    <cellStyle name="AFE 7 5" xfId="626"/>
    <cellStyle name="AFE 7 6" xfId="627"/>
    <cellStyle name="AFE 7 7" xfId="628"/>
    <cellStyle name="AFE 7 8" xfId="629"/>
    <cellStyle name="AFE 7 9" xfId="630"/>
    <cellStyle name="AFE 8" xfId="631"/>
    <cellStyle name="AFE 9" xfId="632"/>
    <cellStyle name="AFE 9 10" xfId="633"/>
    <cellStyle name="AFE 9 11" xfId="634"/>
    <cellStyle name="AFE 9 12" xfId="635"/>
    <cellStyle name="AFE 9 13" xfId="636"/>
    <cellStyle name="AFE 9 14" xfId="637"/>
    <cellStyle name="AFE 9 15" xfId="638"/>
    <cellStyle name="AFE 9 16" xfId="639"/>
    <cellStyle name="AFE 9 17" xfId="640"/>
    <cellStyle name="AFE 9 18" xfId="641"/>
    <cellStyle name="AFE 9 19" xfId="642"/>
    <cellStyle name="AFE 9 2" xfId="643"/>
    <cellStyle name="AFE 9 20" xfId="644"/>
    <cellStyle name="AFE 9 21" xfId="645"/>
    <cellStyle name="AFE 9 22" xfId="646"/>
    <cellStyle name="AFE 9 23" xfId="647"/>
    <cellStyle name="AFE 9 24" xfId="648"/>
    <cellStyle name="AFE 9 3" xfId="649"/>
    <cellStyle name="AFE 9 4" xfId="650"/>
    <cellStyle name="AFE 9 5" xfId="651"/>
    <cellStyle name="AFE 9 6" xfId="652"/>
    <cellStyle name="AFE 9 7" xfId="653"/>
    <cellStyle name="AFE 9 8" xfId="654"/>
    <cellStyle name="AFE 9 9" xfId="655"/>
    <cellStyle name="AFE_FC &amp; rpt costs" xfId="656"/>
    <cellStyle name="Bad 2" xfId="657"/>
    <cellStyle name="Bad 2 2" xfId="658"/>
    <cellStyle name="Bad 2 3" xfId="659"/>
    <cellStyle name="Bad 3" xfId="660"/>
    <cellStyle name="Bad 3 2" xfId="661"/>
    <cellStyle name="Bad 4" xfId="662"/>
    <cellStyle name="Bad 5" xfId="663"/>
    <cellStyle name="Bad 6" xfId="18057"/>
    <cellStyle name="Blue" xfId="18058"/>
    <cellStyle name="BlueH" xfId="18059"/>
    <cellStyle name="Calculated" xfId="664"/>
    <cellStyle name="Calculation 2" xfId="665"/>
    <cellStyle name="Calculation 2 2" xfId="666"/>
    <cellStyle name="Calculation 2 2 2" xfId="667"/>
    <cellStyle name="Calculation 2 3" xfId="668"/>
    <cellStyle name="Calculation 2 3 2" xfId="669"/>
    <cellStyle name="Calculation 2 4" xfId="670"/>
    <cellStyle name="Calculation 3" xfId="671"/>
    <cellStyle name="Calculation 3 2" xfId="672"/>
    <cellStyle name="Calculation 3 2 2" xfId="673"/>
    <cellStyle name="Calculation 3 3" xfId="674"/>
    <cellStyle name="Calculation 4" xfId="675"/>
    <cellStyle name="Calculation 4 2" xfId="676"/>
    <cellStyle name="Calculation 5" xfId="677"/>
    <cellStyle name="Calculation 5 2" xfId="678"/>
    <cellStyle name="Calculation 5 2 2" xfId="679"/>
    <cellStyle name="Calculation 6" xfId="680"/>
    <cellStyle name="Calculation 6 2" xfId="681"/>
    <cellStyle name="Calculation 6 2 2" xfId="682"/>
    <cellStyle name="Calculation 7" xfId="683"/>
    <cellStyle name="Calculation 8" xfId="18060"/>
    <cellStyle name="Check Cell 2" xfId="684"/>
    <cellStyle name="Check Cell 2 2" xfId="685"/>
    <cellStyle name="Check Cell 2 3" xfId="686"/>
    <cellStyle name="Check Cell 3" xfId="687"/>
    <cellStyle name="Check Cell 3 2" xfId="688"/>
    <cellStyle name="Check Cell 4" xfId="689"/>
    <cellStyle name="Check Cell 5" xfId="690"/>
    <cellStyle name="Check Cell 5 2" xfId="691"/>
    <cellStyle name="Check Cell 5 2 2" xfId="692"/>
    <cellStyle name="Check Cell 6" xfId="693"/>
    <cellStyle name="Check Cell 6 2" xfId="694"/>
    <cellStyle name="Check Cell 7" xfId="695"/>
    <cellStyle name="Check Cell 8" xfId="18061"/>
    <cellStyle name="Comma" xfId="1" builtinId="3"/>
    <cellStyle name="Comma  - Style1" xfId="696"/>
    <cellStyle name="Comma  - Style2" xfId="697"/>
    <cellStyle name="Comma  - Style3" xfId="698"/>
    <cellStyle name="Comma  - Style4" xfId="699"/>
    <cellStyle name="Comma  - Style5" xfId="700"/>
    <cellStyle name="Comma  - Style6" xfId="701"/>
    <cellStyle name="Comma  - Style7" xfId="702"/>
    <cellStyle name="Comma  - Style8" xfId="703"/>
    <cellStyle name="Comma 0" xfId="704"/>
    <cellStyle name="Comma 0 2" xfId="705"/>
    <cellStyle name="Comma 0 2 2" xfId="706"/>
    <cellStyle name="Comma 0 3" xfId="707"/>
    <cellStyle name="Comma 0 3 2" xfId="18062"/>
    <cellStyle name="Comma 0 4" xfId="18063"/>
    <cellStyle name="Comma 1" xfId="708"/>
    <cellStyle name="Comma 1 2" xfId="709"/>
    <cellStyle name="Comma 1 2 2" xfId="710"/>
    <cellStyle name="Comma 1 3" xfId="711"/>
    <cellStyle name="Comma 1 3 2" xfId="18064"/>
    <cellStyle name="Comma 1 4" xfId="18065"/>
    <cellStyle name="Comma 10" xfId="712"/>
    <cellStyle name="Comma 10 2" xfId="713"/>
    <cellStyle name="Comma 10 2 2" xfId="7"/>
    <cellStyle name="Comma 10 2 2 2" xfId="714"/>
    <cellStyle name="Comma 10 2 2 2 2" xfId="715"/>
    <cellStyle name="Comma 10 2 2 2 2 2" xfId="716"/>
    <cellStyle name="Comma 10 2 2 2 3" xfId="717"/>
    <cellStyle name="Comma 10 2 2 3" xfId="718"/>
    <cellStyle name="Comma 10 2 2 3 2" xfId="719"/>
    <cellStyle name="Comma 10 2 2 3 2 2" xfId="720"/>
    <cellStyle name="Comma 10 2 2 3 3" xfId="721"/>
    <cellStyle name="Comma 10 2 2 4" xfId="722"/>
    <cellStyle name="Comma 10 2 2 4 2" xfId="723"/>
    <cellStyle name="Comma 10 2 2 5" xfId="724"/>
    <cellStyle name="Comma 10 2 3" xfId="725"/>
    <cellStyle name="Comma 10 2 3 2" xfId="726"/>
    <cellStyle name="Comma 10 2 3 2 2" xfId="727"/>
    <cellStyle name="Comma 10 2 3 2 2 2" xfId="728"/>
    <cellStyle name="Comma 10 2 3 2 3" xfId="729"/>
    <cellStyle name="Comma 10 2 3 3" xfId="730"/>
    <cellStyle name="Comma 10 2 3 3 2" xfId="731"/>
    <cellStyle name="Comma 10 2 3 3 2 2" xfId="732"/>
    <cellStyle name="Comma 10 2 3 3 3" xfId="733"/>
    <cellStyle name="Comma 10 2 3 4" xfId="734"/>
    <cellStyle name="Comma 10 2 3 4 2" xfId="735"/>
    <cellStyle name="Comma 10 2 3 5" xfId="736"/>
    <cellStyle name="Comma 10 2 4" xfId="737"/>
    <cellStyle name="Comma 10 2 4 2" xfId="738"/>
    <cellStyle name="Comma 10 2 4 2 2" xfId="739"/>
    <cellStyle name="Comma 10 2 4 2 2 2" xfId="740"/>
    <cellStyle name="Comma 10 2 4 2 3" xfId="741"/>
    <cellStyle name="Comma 10 2 4 3" xfId="742"/>
    <cellStyle name="Comma 10 2 4 3 2" xfId="743"/>
    <cellStyle name="Comma 10 2 4 3 2 2" xfId="744"/>
    <cellStyle name="Comma 10 2 4 3 3" xfId="745"/>
    <cellStyle name="Comma 10 2 4 4" xfId="746"/>
    <cellStyle name="Comma 10 2 4 4 2" xfId="747"/>
    <cellStyle name="Comma 10 2 4 5" xfId="748"/>
    <cellStyle name="Comma 10 2 5" xfId="749"/>
    <cellStyle name="Comma 10 2 5 2" xfId="750"/>
    <cellStyle name="Comma 10 2 5 2 2" xfId="751"/>
    <cellStyle name="Comma 10 2 5 3" xfId="752"/>
    <cellStyle name="Comma 10 2 6" xfId="753"/>
    <cellStyle name="Comma 10 2 6 2" xfId="754"/>
    <cellStyle name="Comma 10 2 6 2 2" xfId="755"/>
    <cellStyle name="Comma 10 2 6 3" xfId="756"/>
    <cellStyle name="Comma 10 2 7" xfId="757"/>
    <cellStyle name="Comma 10 2 8" xfId="758"/>
    <cellStyle name="Comma 10 2 8 2" xfId="759"/>
    <cellStyle name="Comma 10 2 8 2 2" xfId="760"/>
    <cellStyle name="Comma 10 2 8 3" xfId="761"/>
    <cellStyle name="Comma 10 3" xfId="762"/>
    <cellStyle name="Comma 10 3 2" xfId="763"/>
    <cellStyle name="Comma 10 3 2 2" xfId="764"/>
    <cellStyle name="Comma 10 3 2 2 2" xfId="765"/>
    <cellStyle name="Comma 10 3 2 3" xfId="766"/>
    <cellStyle name="Comma 10 3 3" xfId="767"/>
    <cellStyle name="Comma 10 3 3 2" xfId="768"/>
    <cellStyle name="Comma 10 3 3 2 2" xfId="769"/>
    <cellStyle name="Comma 10 3 3 3" xfId="770"/>
    <cellStyle name="Comma 10 3 4" xfId="771"/>
    <cellStyle name="Comma 10 3 4 2" xfId="772"/>
    <cellStyle name="Comma 10 3 5" xfId="773"/>
    <cellStyle name="Comma 10 4" xfId="774"/>
    <cellStyle name="Comma 10 4 2" xfId="775"/>
    <cellStyle name="Comma 10 4 2 2" xfId="776"/>
    <cellStyle name="Comma 10 4 2 2 2" xfId="777"/>
    <cellStyle name="Comma 10 4 2 3" xfId="778"/>
    <cellStyle name="Comma 10 4 3" xfId="779"/>
    <cellStyle name="Comma 10 4 3 2" xfId="780"/>
    <cellStyle name="Comma 10 4 3 2 2" xfId="781"/>
    <cellStyle name="Comma 10 4 3 3" xfId="782"/>
    <cellStyle name="Comma 10 4 4" xfId="783"/>
    <cellStyle name="Comma 10 4 4 2" xfId="784"/>
    <cellStyle name="Comma 10 4 5" xfId="785"/>
    <cellStyle name="Comma 10 5" xfId="786"/>
    <cellStyle name="Comma 10 5 2" xfId="787"/>
    <cellStyle name="Comma 10 5 2 2" xfId="788"/>
    <cellStyle name="Comma 10 5 2 2 2" xfId="789"/>
    <cellStyle name="Comma 10 5 2 3" xfId="790"/>
    <cellStyle name="Comma 10 5 3" xfId="791"/>
    <cellStyle name="Comma 10 5 3 2" xfId="792"/>
    <cellStyle name="Comma 10 5 3 2 2" xfId="793"/>
    <cellStyle name="Comma 10 5 3 3" xfId="794"/>
    <cellStyle name="Comma 10 5 4" xfId="795"/>
    <cellStyle name="Comma 10 5 4 2" xfId="796"/>
    <cellStyle name="Comma 10 5 5" xfId="797"/>
    <cellStyle name="Comma 10 6" xfId="798"/>
    <cellStyle name="Comma 10 7" xfId="799"/>
    <cellStyle name="Comma 10 8" xfId="800"/>
    <cellStyle name="Comma 10 8 2" xfId="801"/>
    <cellStyle name="Comma 10 8 2 2" xfId="802"/>
    <cellStyle name="Comma 10 8 3" xfId="803"/>
    <cellStyle name="Comma 10 9" xfId="18066"/>
    <cellStyle name="Comma 100" xfId="18067"/>
    <cellStyle name="Comma 101" xfId="18068"/>
    <cellStyle name="Comma 102" xfId="18069"/>
    <cellStyle name="Comma 103" xfId="18070"/>
    <cellStyle name="Comma 104" xfId="18071"/>
    <cellStyle name="Comma 105" xfId="18072"/>
    <cellStyle name="Comma 106" xfId="18073"/>
    <cellStyle name="Comma 107" xfId="18074"/>
    <cellStyle name="Comma 108" xfId="18075"/>
    <cellStyle name="Comma 109" xfId="18076"/>
    <cellStyle name="Comma 11" xfId="804"/>
    <cellStyle name="Comma 11 2" xfId="805"/>
    <cellStyle name="Comma 11 3" xfId="806"/>
    <cellStyle name="Comma 11 4" xfId="807"/>
    <cellStyle name="Comma 11 4 2" xfId="808"/>
    <cellStyle name="Comma 11 4 2 2" xfId="809"/>
    <cellStyle name="Comma 11 4 3" xfId="810"/>
    <cellStyle name="Comma 11 5" xfId="18077"/>
    <cellStyle name="Comma 110" xfId="18078"/>
    <cellStyle name="Comma 111" xfId="18079"/>
    <cellStyle name="Comma 112" xfId="18080"/>
    <cellStyle name="Comma 113" xfId="18081"/>
    <cellStyle name="Comma 114" xfId="18082"/>
    <cellStyle name="Comma 115" xfId="18083"/>
    <cellStyle name="Comma 116" xfId="18084"/>
    <cellStyle name="Comma 117" xfId="18085"/>
    <cellStyle name="Comma 118" xfId="18086"/>
    <cellStyle name="Comma 119" xfId="18087"/>
    <cellStyle name="Comma 12" xfId="811"/>
    <cellStyle name="Comma 12 2" xfId="812"/>
    <cellStyle name="Comma 12 3" xfId="813"/>
    <cellStyle name="Comma 12 4" xfId="814"/>
    <cellStyle name="Comma 12 4 2" xfId="815"/>
    <cellStyle name="Comma 12 4 2 2" xfId="816"/>
    <cellStyle name="Comma 12 4 3" xfId="817"/>
    <cellStyle name="Comma 12 5" xfId="18088"/>
    <cellStyle name="Comma 120" xfId="18089"/>
    <cellStyle name="Comma 121" xfId="18090"/>
    <cellStyle name="Comma 122" xfId="18091"/>
    <cellStyle name="Comma 123" xfId="18092"/>
    <cellStyle name="Comma 124" xfId="18093"/>
    <cellStyle name="Comma 125" xfId="18094"/>
    <cellStyle name="Comma 126" xfId="18095"/>
    <cellStyle name="Comma 127" xfId="18096"/>
    <cellStyle name="Comma 128" xfId="18097"/>
    <cellStyle name="Comma 129" xfId="18098"/>
    <cellStyle name="Comma 13" xfId="818"/>
    <cellStyle name="Comma 13 2" xfId="819"/>
    <cellStyle name="Comma 13 3" xfId="820"/>
    <cellStyle name="Comma 13 4" xfId="821"/>
    <cellStyle name="Comma 13 4 2" xfId="822"/>
    <cellStyle name="Comma 13 4 2 2" xfId="823"/>
    <cellStyle name="Comma 13 4 3" xfId="824"/>
    <cellStyle name="Comma 13 5" xfId="18099"/>
    <cellStyle name="Comma 130" xfId="18100"/>
    <cellStyle name="Comma 131" xfId="18101"/>
    <cellStyle name="Comma 132" xfId="18102"/>
    <cellStyle name="Comma 133" xfId="18103"/>
    <cellStyle name="Comma 134" xfId="18104"/>
    <cellStyle name="Comma 135" xfId="18105"/>
    <cellStyle name="Comma 136" xfId="18106"/>
    <cellStyle name="Comma 137" xfId="18107"/>
    <cellStyle name="Comma 138" xfId="18108"/>
    <cellStyle name="Comma 139" xfId="18109"/>
    <cellStyle name="Comma 14" xfId="825"/>
    <cellStyle name="Comma 14 2" xfId="826"/>
    <cellStyle name="Comma 14 3" xfId="827"/>
    <cellStyle name="Comma 14 3 2" xfId="828"/>
    <cellStyle name="Comma 14 4" xfId="829"/>
    <cellStyle name="Comma 140" xfId="18110"/>
    <cellStyle name="Comma 141" xfId="18111"/>
    <cellStyle name="Comma 142" xfId="18112"/>
    <cellStyle name="Comma 143" xfId="18113"/>
    <cellStyle name="Comma 144" xfId="18114"/>
    <cellStyle name="Comma 145" xfId="18115"/>
    <cellStyle name="Comma 146" xfId="18116"/>
    <cellStyle name="Comma 147" xfId="18117"/>
    <cellStyle name="Comma 148" xfId="18118"/>
    <cellStyle name="Comma 149" xfId="18119"/>
    <cellStyle name="Comma 15" xfId="830"/>
    <cellStyle name="Comma 15 2" xfId="831"/>
    <cellStyle name="Comma 15 3" xfId="832"/>
    <cellStyle name="Comma 15 3 2" xfId="833"/>
    <cellStyle name="Comma 15 4" xfId="834"/>
    <cellStyle name="Comma 150" xfId="18120"/>
    <cellStyle name="Comma 151" xfId="18121"/>
    <cellStyle name="Comma 152" xfId="18122"/>
    <cellStyle name="Comma 153" xfId="18123"/>
    <cellStyle name="Comma 154" xfId="18124"/>
    <cellStyle name="Comma 155" xfId="18125"/>
    <cellStyle name="Comma 156" xfId="18126"/>
    <cellStyle name="Comma 157" xfId="18127"/>
    <cellStyle name="Comma 158" xfId="18128"/>
    <cellStyle name="Comma 159" xfId="18129"/>
    <cellStyle name="Comma 16" xfId="835"/>
    <cellStyle name="Comma 16 2" xfId="836"/>
    <cellStyle name="Comma 16 3" xfId="837"/>
    <cellStyle name="Comma 16 3 2" xfId="838"/>
    <cellStyle name="Comma 16 4" xfId="839"/>
    <cellStyle name="Comma 160" xfId="18130"/>
    <cellStyle name="Comma 161" xfId="18131"/>
    <cellStyle name="Comma 162" xfId="18132"/>
    <cellStyle name="Comma 163" xfId="18133"/>
    <cellStyle name="Comma 164" xfId="18134"/>
    <cellStyle name="Comma 165" xfId="18135"/>
    <cellStyle name="Comma 166" xfId="18136"/>
    <cellStyle name="Comma 167" xfId="18137"/>
    <cellStyle name="Comma 168" xfId="18138"/>
    <cellStyle name="Comma 169" xfId="18139"/>
    <cellStyle name="Comma 17" xfId="840"/>
    <cellStyle name="Comma 17 10" xfId="841"/>
    <cellStyle name="Comma 17 10 2" xfId="842"/>
    <cellStyle name="Comma 17 11" xfId="843"/>
    <cellStyle name="Comma 17 2" xfId="844"/>
    <cellStyle name="Comma 17 3" xfId="845"/>
    <cellStyle name="Comma 17 4" xfId="846"/>
    <cellStyle name="Comma 17 5" xfId="847"/>
    <cellStyle name="Comma 17 6" xfId="848"/>
    <cellStyle name="Comma 17 7" xfId="849"/>
    <cellStyle name="Comma 17 8" xfId="850"/>
    <cellStyle name="Comma 17 9" xfId="851"/>
    <cellStyle name="Comma 170" xfId="18140"/>
    <cellStyle name="Comma 171" xfId="18141"/>
    <cellStyle name="Comma 172" xfId="18142"/>
    <cellStyle name="Comma 173" xfId="18143"/>
    <cellStyle name="Comma 174" xfId="18144"/>
    <cellStyle name="Comma 175" xfId="18145"/>
    <cellStyle name="Comma 176" xfId="18146"/>
    <cellStyle name="Comma 177" xfId="18147"/>
    <cellStyle name="Comma 178" xfId="18148"/>
    <cellStyle name="Comma 179" xfId="18149"/>
    <cellStyle name="Comma 18" xfId="852"/>
    <cellStyle name="Comma 18 10" xfId="853"/>
    <cellStyle name="Comma 18 11" xfId="854"/>
    <cellStyle name="Comma 18 11 2" xfId="855"/>
    <cellStyle name="Comma 18 12" xfId="856"/>
    <cellStyle name="Comma 18 2" xfId="857"/>
    <cellStyle name="Comma 18 3" xfId="858"/>
    <cellStyle name="Comma 18 4" xfId="859"/>
    <cellStyle name="Comma 18 5" xfId="860"/>
    <cellStyle name="Comma 18 6" xfId="861"/>
    <cellStyle name="Comma 18 7" xfId="862"/>
    <cellStyle name="Comma 18 8" xfId="863"/>
    <cellStyle name="Comma 18 9" xfId="864"/>
    <cellStyle name="Comma 180" xfId="18150"/>
    <cellStyle name="Comma 181" xfId="18151"/>
    <cellStyle name="Comma 182" xfId="18152"/>
    <cellStyle name="Comma 183" xfId="18153"/>
    <cellStyle name="Comma 184" xfId="18154"/>
    <cellStyle name="Comma 185" xfId="18155"/>
    <cellStyle name="Comma 186" xfId="18156"/>
    <cellStyle name="Comma 187" xfId="18157"/>
    <cellStyle name="Comma 188" xfId="18158"/>
    <cellStyle name="Comma 189" xfId="18159"/>
    <cellStyle name="Comma 19" xfId="865"/>
    <cellStyle name="Comma 19 2" xfId="866"/>
    <cellStyle name="Comma 19 3" xfId="867"/>
    <cellStyle name="Comma 19 3 2" xfId="868"/>
    <cellStyle name="Comma 19 4" xfId="869"/>
    <cellStyle name="Comma 190" xfId="18160"/>
    <cellStyle name="Comma 191" xfId="18161"/>
    <cellStyle name="Comma 192" xfId="18162"/>
    <cellStyle name="Comma 193" xfId="18163"/>
    <cellStyle name="Comma 194" xfId="18164"/>
    <cellStyle name="Comma 195" xfId="18165"/>
    <cellStyle name="Comma 196" xfId="18166"/>
    <cellStyle name="Comma 197" xfId="18167"/>
    <cellStyle name="Comma 198" xfId="18168"/>
    <cellStyle name="Comma 199" xfId="18169"/>
    <cellStyle name="Comma 2" xfId="870"/>
    <cellStyle name="Comma 2 10" xfId="871"/>
    <cellStyle name="Comma 2 10 2" xfId="872"/>
    <cellStyle name="Comma 2 11" xfId="873"/>
    <cellStyle name="Comma 2 11 2" xfId="874"/>
    <cellStyle name="Comma 2 12" xfId="875"/>
    <cellStyle name="Comma 2 12 2" xfId="876"/>
    <cellStyle name="Comma 2 13" xfId="877"/>
    <cellStyle name="Comma 2 13 2" xfId="878"/>
    <cellStyle name="Comma 2 14" xfId="879"/>
    <cellStyle name="Comma 2 14 2" xfId="880"/>
    <cellStyle name="Comma 2 15" xfId="881"/>
    <cellStyle name="Comma 2 15 2" xfId="882"/>
    <cellStyle name="Comma 2 15 3" xfId="883"/>
    <cellStyle name="Comma 2 16" xfId="884"/>
    <cellStyle name="Comma 2 17" xfId="885"/>
    <cellStyle name="Comma 2 18" xfId="18640"/>
    <cellStyle name="Comma 2 2" xfId="886"/>
    <cellStyle name="Comma 2 2 10" xfId="887"/>
    <cellStyle name="Comma 2 2 11" xfId="888"/>
    <cellStyle name="Comma 2 2 12" xfId="889"/>
    <cellStyle name="Comma 2 2 13" xfId="890"/>
    <cellStyle name="Comma 2 2 14" xfId="891"/>
    <cellStyle name="Comma 2 2 15" xfId="892"/>
    <cellStyle name="Comma 2 2 16" xfId="893"/>
    <cellStyle name="Comma 2 2 17" xfId="894"/>
    <cellStyle name="Comma 2 2 18" xfId="895"/>
    <cellStyle name="Comma 2 2 19" xfId="896"/>
    <cellStyle name="Comma 2 2 2" xfId="897"/>
    <cellStyle name="Comma 2 2 2 2" xfId="898"/>
    <cellStyle name="Comma 2 2 2 2 2" xfId="899"/>
    <cellStyle name="Comma 2 2 2 2 3" xfId="900"/>
    <cellStyle name="Comma 2 2 2 3" xfId="901"/>
    <cellStyle name="Comma 2 2 2 4" xfId="902"/>
    <cellStyle name="Comma 2 2 2 5" xfId="903"/>
    <cellStyle name="Comma 2 2 2 6" xfId="904"/>
    <cellStyle name="Comma 2 2 20" xfId="905"/>
    <cellStyle name="Comma 2 2 21" xfId="906"/>
    <cellStyle name="Comma 2 2 22" xfId="907"/>
    <cellStyle name="Comma 2 2 3" xfId="908"/>
    <cellStyle name="Comma 2 2 3 2" xfId="18170"/>
    <cellStyle name="Comma 2 2 4" xfId="909"/>
    <cellStyle name="Comma 2 2 4 2" xfId="910"/>
    <cellStyle name="Comma 2 2 4 3" xfId="18171"/>
    <cellStyle name="Comma 2 2 5" xfId="911"/>
    <cellStyle name="Comma 2 2 5 2" xfId="912"/>
    <cellStyle name="Comma 2 2 6" xfId="913"/>
    <cellStyle name="Comma 2 2 7" xfId="914"/>
    <cellStyle name="Comma 2 2 8" xfId="915"/>
    <cellStyle name="Comma 2 2 9" xfId="916"/>
    <cellStyle name="Comma 2 3" xfId="917"/>
    <cellStyle name="Comma 2 3 2" xfId="918"/>
    <cellStyle name="Comma 2 3 2 2" xfId="919"/>
    <cellStyle name="Comma 2 3 3" xfId="920"/>
    <cellStyle name="Comma 2 3 4" xfId="921"/>
    <cellStyle name="Comma 2 4" xfId="922"/>
    <cellStyle name="Comma 2 4 2" xfId="923"/>
    <cellStyle name="Comma 2 4 3" xfId="18172"/>
    <cellStyle name="Comma 2 5" xfId="924"/>
    <cellStyle name="Comma 2 5 2" xfId="925"/>
    <cellStyle name="Comma 2 6" xfId="926"/>
    <cellStyle name="Comma 2 6 2" xfId="927"/>
    <cellStyle name="Comma 2 6 2 2" xfId="928"/>
    <cellStyle name="Comma 2 6 3" xfId="929"/>
    <cellStyle name="Comma 2 7" xfId="930"/>
    <cellStyle name="Comma 2 7 2" xfId="931"/>
    <cellStyle name="Comma 2 8" xfId="932"/>
    <cellStyle name="Comma 2 8 2" xfId="933"/>
    <cellStyle name="Comma 2 9" xfId="934"/>
    <cellStyle name="Comma 2 9 2" xfId="935"/>
    <cellStyle name="Comma 20" xfId="936"/>
    <cellStyle name="Comma 20 2" xfId="937"/>
    <cellStyle name="Comma 20 3" xfId="938"/>
    <cellStyle name="Comma 20 3 2" xfId="939"/>
    <cellStyle name="Comma 20 4" xfId="940"/>
    <cellStyle name="Comma 200" xfId="18173"/>
    <cellStyle name="Comma 201" xfId="18174"/>
    <cellStyle name="Comma 202" xfId="18175"/>
    <cellStyle name="Comma 203" xfId="18176"/>
    <cellStyle name="Comma 204" xfId="18177"/>
    <cellStyle name="Comma 205" xfId="18178"/>
    <cellStyle name="Comma 206" xfId="18179"/>
    <cellStyle name="Comma 207" xfId="18180"/>
    <cellStyle name="Comma 208" xfId="18181"/>
    <cellStyle name="Comma 209" xfId="18182"/>
    <cellStyle name="Comma 21" xfId="941"/>
    <cellStyle name="Comma 21 2" xfId="942"/>
    <cellStyle name="Comma 21 3" xfId="943"/>
    <cellStyle name="Comma 21 3 2" xfId="944"/>
    <cellStyle name="Comma 21 4" xfId="945"/>
    <cellStyle name="Comma 210" xfId="18183"/>
    <cellStyle name="Comma 211" xfId="18184"/>
    <cellStyle name="Comma 212" xfId="18185"/>
    <cellStyle name="Comma 213" xfId="18186"/>
    <cellStyle name="Comma 214" xfId="18187"/>
    <cellStyle name="Comma 215" xfId="18188"/>
    <cellStyle name="Comma 216" xfId="18189"/>
    <cellStyle name="Comma 217" xfId="18190"/>
    <cellStyle name="Comma 218" xfId="18191"/>
    <cellStyle name="Comma 219" xfId="18192"/>
    <cellStyle name="Comma 22" xfId="946"/>
    <cellStyle name="Comma 22 2" xfId="947"/>
    <cellStyle name="Comma 22 3" xfId="948"/>
    <cellStyle name="Comma 22 3 2" xfId="949"/>
    <cellStyle name="Comma 22 4" xfId="950"/>
    <cellStyle name="Comma 220" xfId="18644"/>
    <cellStyle name="Comma 23" xfId="951"/>
    <cellStyle name="Comma 23 2" xfId="952"/>
    <cellStyle name="Comma 23 3" xfId="953"/>
    <cellStyle name="Comma 23 3 2" xfId="954"/>
    <cellStyle name="Comma 23 4" xfId="955"/>
    <cellStyle name="Comma 24" xfId="956"/>
    <cellStyle name="Comma 24 2" xfId="957"/>
    <cellStyle name="Comma 24 3" xfId="958"/>
    <cellStyle name="Comma 24 3 2" xfId="959"/>
    <cellStyle name="Comma 24 4" xfId="960"/>
    <cellStyle name="Comma 25" xfId="961"/>
    <cellStyle name="Comma 25 2" xfId="962"/>
    <cellStyle name="Comma 25 3" xfId="963"/>
    <cellStyle name="Comma 25 3 2" xfId="964"/>
    <cellStyle name="Comma 25 4" xfId="965"/>
    <cellStyle name="Comma 26" xfId="966"/>
    <cellStyle name="Comma 26 2" xfId="967"/>
    <cellStyle name="Comma 26 3" xfId="968"/>
    <cellStyle name="Comma 26 3 2" xfId="969"/>
    <cellStyle name="Comma 26 4" xfId="970"/>
    <cellStyle name="Comma 27" xfId="971"/>
    <cellStyle name="Comma 27 2" xfId="972"/>
    <cellStyle name="Comma 27 3" xfId="973"/>
    <cellStyle name="Comma 27 3 2" xfId="974"/>
    <cellStyle name="Comma 27 4" xfId="975"/>
    <cellStyle name="Comma 28" xfId="976"/>
    <cellStyle name="Comma 28 2" xfId="18193"/>
    <cellStyle name="Comma 29" xfId="977"/>
    <cellStyle name="Comma 29 2" xfId="18194"/>
    <cellStyle name="Comma 29 3 2" xfId="18667"/>
    <cellStyle name="Comma 3" xfId="978"/>
    <cellStyle name="Comma 3 10" xfId="979"/>
    <cellStyle name="Comma 3 10 2" xfId="980"/>
    <cellStyle name="Comma 3 10 3" xfId="981"/>
    <cellStyle name="Comma 3 10 3 2" xfId="982"/>
    <cellStyle name="Comma 3 10 3 2 2" xfId="983"/>
    <cellStyle name="Comma 3 10 3 3" xfId="984"/>
    <cellStyle name="Comma 3 10 4" xfId="985"/>
    <cellStyle name="Comma 3 10 4 2" xfId="986"/>
    <cellStyle name="Comma 3 10 4 2 2" xfId="987"/>
    <cellStyle name="Comma 3 10 4 3" xfId="988"/>
    <cellStyle name="Comma 3 10 5" xfId="989"/>
    <cellStyle name="Comma 3 10 5 2" xfId="990"/>
    <cellStyle name="Comma 3 10 6" xfId="991"/>
    <cellStyle name="Comma 3 11" xfId="992"/>
    <cellStyle name="Comma 3 12" xfId="993"/>
    <cellStyle name="Comma 3 13" xfId="994"/>
    <cellStyle name="Comma 3 14" xfId="995"/>
    <cellStyle name="Comma 3 15" xfId="996"/>
    <cellStyle name="Comma 3 16" xfId="997"/>
    <cellStyle name="Comma 3 17" xfId="998"/>
    <cellStyle name="Comma 3 18" xfId="999"/>
    <cellStyle name="Comma 3 18 2" xfId="1000"/>
    <cellStyle name="Comma 3 18 2 2" xfId="1001"/>
    <cellStyle name="Comma 3 18 2 2 2" xfId="1002"/>
    <cellStyle name="Comma 3 18 2 3" xfId="1003"/>
    <cellStyle name="Comma 3 18 3" xfId="1004"/>
    <cellStyle name="Comma 3 18 3 2" xfId="1005"/>
    <cellStyle name="Comma 3 18 3 2 2" xfId="1006"/>
    <cellStyle name="Comma 3 18 3 3" xfId="1007"/>
    <cellStyle name="Comma 3 18 4" xfId="1008"/>
    <cellStyle name="Comma 3 18 4 2" xfId="1009"/>
    <cellStyle name="Comma 3 18 5" xfId="1010"/>
    <cellStyle name="Comma 3 19" xfId="1011"/>
    <cellStyle name="Comma 3 19 2" xfId="1012"/>
    <cellStyle name="Comma 3 2" xfId="1013"/>
    <cellStyle name="Comma 3 2 2" xfId="1014"/>
    <cellStyle name="Comma 3 2 2 2" xfId="1015"/>
    <cellStyle name="Comma 3 2 3" xfId="1016"/>
    <cellStyle name="Comma 3 20" xfId="18195"/>
    <cellStyle name="Comma 3 21" xfId="18196"/>
    <cellStyle name="Comma 3 22" xfId="18197"/>
    <cellStyle name="Comma 3 3" xfId="1017"/>
    <cellStyle name="Comma 3 3 10" xfId="1018"/>
    <cellStyle name="Comma 3 3 11" xfId="1019"/>
    <cellStyle name="Comma 3 3 11 2" xfId="1020"/>
    <cellStyle name="Comma 3 3 11 2 2" xfId="1021"/>
    <cellStyle name="Comma 3 3 11 3" xfId="1022"/>
    <cellStyle name="Comma 3 3 2" xfId="1023"/>
    <cellStyle name="Comma 3 3 2 2" xfId="1024"/>
    <cellStyle name="Comma 3 3 2 2 2" xfId="1025"/>
    <cellStyle name="Comma 3 3 2 2 2 2" xfId="1026"/>
    <cellStyle name="Comma 3 3 2 2 2 2 2" xfId="1027"/>
    <cellStyle name="Comma 3 3 2 2 2 2 2 2" xfId="1028"/>
    <cellStyle name="Comma 3 3 2 2 2 2 3" xfId="1029"/>
    <cellStyle name="Comma 3 3 2 2 2 3" xfId="1030"/>
    <cellStyle name="Comma 3 3 2 2 2 3 2" xfId="1031"/>
    <cellStyle name="Comma 3 3 2 2 2 3 2 2" xfId="1032"/>
    <cellStyle name="Comma 3 3 2 2 2 3 3" xfId="1033"/>
    <cellStyle name="Comma 3 3 2 2 2 4" xfId="1034"/>
    <cellStyle name="Comma 3 3 2 2 2 4 2" xfId="1035"/>
    <cellStyle name="Comma 3 3 2 2 2 5" xfId="1036"/>
    <cellStyle name="Comma 3 3 2 2 3" xfId="1037"/>
    <cellStyle name="Comma 3 3 2 2 3 2" xfId="1038"/>
    <cellStyle name="Comma 3 3 2 2 3 2 2" xfId="1039"/>
    <cellStyle name="Comma 3 3 2 2 3 2 2 2" xfId="1040"/>
    <cellStyle name="Comma 3 3 2 2 3 2 3" xfId="1041"/>
    <cellStyle name="Comma 3 3 2 2 3 3" xfId="1042"/>
    <cellStyle name="Comma 3 3 2 2 3 3 2" xfId="1043"/>
    <cellStyle name="Comma 3 3 2 2 3 3 2 2" xfId="1044"/>
    <cellStyle name="Comma 3 3 2 2 3 3 3" xfId="1045"/>
    <cellStyle name="Comma 3 3 2 2 3 4" xfId="1046"/>
    <cellStyle name="Comma 3 3 2 2 3 4 2" xfId="1047"/>
    <cellStyle name="Comma 3 3 2 2 3 5" xfId="1048"/>
    <cellStyle name="Comma 3 3 2 2 4" xfId="1049"/>
    <cellStyle name="Comma 3 3 2 2 4 2" xfId="1050"/>
    <cellStyle name="Comma 3 3 2 2 4 2 2" xfId="1051"/>
    <cellStyle name="Comma 3 3 2 2 4 2 2 2" xfId="1052"/>
    <cellStyle name="Comma 3 3 2 2 4 2 3" xfId="1053"/>
    <cellStyle name="Comma 3 3 2 2 4 3" xfId="1054"/>
    <cellStyle name="Comma 3 3 2 2 4 3 2" xfId="1055"/>
    <cellStyle name="Comma 3 3 2 2 4 3 2 2" xfId="1056"/>
    <cellStyle name="Comma 3 3 2 2 4 3 3" xfId="1057"/>
    <cellStyle name="Comma 3 3 2 2 4 4" xfId="1058"/>
    <cellStyle name="Comma 3 3 2 2 4 4 2" xfId="1059"/>
    <cellStyle name="Comma 3 3 2 2 4 5" xfId="1060"/>
    <cellStyle name="Comma 3 3 2 2 5" xfId="1061"/>
    <cellStyle name="Comma 3 3 2 2 5 2" xfId="1062"/>
    <cellStyle name="Comma 3 3 2 2 5 2 2" xfId="1063"/>
    <cellStyle name="Comma 3 3 2 2 5 3" xfId="1064"/>
    <cellStyle name="Comma 3 3 2 2 6" xfId="1065"/>
    <cellStyle name="Comma 3 3 2 2 6 2" xfId="1066"/>
    <cellStyle name="Comma 3 3 2 2 6 2 2" xfId="1067"/>
    <cellStyle name="Comma 3 3 2 2 6 3" xfId="1068"/>
    <cellStyle name="Comma 3 3 2 2 7" xfId="1069"/>
    <cellStyle name="Comma 3 3 2 2 8" xfId="1070"/>
    <cellStyle name="Comma 3 3 2 2 8 2" xfId="1071"/>
    <cellStyle name="Comma 3 3 2 2 8 2 2" xfId="1072"/>
    <cellStyle name="Comma 3 3 2 2 8 3" xfId="1073"/>
    <cellStyle name="Comma 3 3 2 3" xfId="1074"/>
    <cellStyle name="Comma 3 3 2 3 2" xfId="1075"/>
    <cellStyle name="Comma 3 3 2 3 2 2" xfId="1076"/>
    <cellStyle name="Comma 3 3 2 3 2 2 2" xfId="1077"/>
    <cellStyle name="Comma 3 3 2 3 2 3" xfId="1078"/>
    <cellStyle name="Comma 3 3 2 3 3" xfId="1079"/>
    <cellStyle name="Comma 3 3 2 3 3 2" xfId="1080"/>
    <cellStyle name="Comma 3 3 2 3 3 2 2" xfId="1081"/>
    <cellStyle name="Comma 3 3 2 3 3 3" xfId="1082"/>
    <cellStyle name="Comma 3 3 2 3 4" xfId="1083"/>
    <cellStyle name="Comma 3 3 2 3 4 2" xfId="1084"/>
    <cellStyle name="Comma 3 3 2 3 5" xfId="1085"/>
    <cellStyle name="Comma 3 3 2 4" xfId="1086"/>
    <cellStyle name="Comma 3 3 2 4 2" xfId="1087"/>
    <cellStyle name="Comma 3 3 2 4 2 2" xfId="1088"/>
    <cellStyle name="Comma 3 3 2 4 2 2 2" xfId="1089"/>
    <cellStyle name="Comma 3 3 2 4 2 3" xfId="1090"/>
    <cellStyle name="Comma 3 3 2 4 3" xfId="1091"/>
    <cellStyle name="Comma 3 3 2 4 3 2" xfId="1092"/>
    <cellStyle name="Comma 3 3 2 4 3 2 2" xfId="1093"/>
    <cellStyle name="Comma 3 3 2 4 3 3" xfId="1094"/>
    <cellStyle name="Comma 3 3 2 4 4" xfId="1095"/>
    <cellStyle name="Comma 3 3 2 4 4 2" xfId="1096"/>
    <cellStyle name="Comma 3 3 2 4 5" xfId="1097"/>
    <cellStyle name="Comma 3 3 2 5" xfId="1098"/>
    <cellStyle name="Comma 3 3 2 5 2" xfId="1099"/>
    <cellStyle name="Comma 3 3 2 5 2 2" xfId="1100"/>
    <cellStyle name="Comma 3 3 2 5 2 2 2" xfId="1101"/>
    <cellStyle name="Comma 3 3 2 5 2 3" xfId="1102"/>
    <cellStyle name="Comma 3 3 2 5 3" xfId="1103"/>
    <cellStyle name="Comma 3 3 2 5 3 2" xfId="1104"/>
    <cellStyle name="Comma 3 3 2 5 3 2 2" xfId="1105"/>
    <cellStyle name="Comma 3 3 2 5 3 3" xfId="1106"/>
    <cellStyle name="Comma 3 3 2 5 4" xfId="1107"/>
    <cellStyle name="Comma 3 3 2 5 4 2" xfId="1108"/>
    <cellStyle name="Comma 3 3 2 5 5" xfId="1109"/>
    <cellStyle name="Comma 3 3 2 6" xfId="1110"/>
    <cellStyle name="Comma 3 3 2 6 2" xfId="1111"/>
    <cellStyle name="Comma 3 3 2 6 2 2" xfId="1112"/>
    <cellStyle name="Comma 3 3 2 6 3" xfId="1113"/>
    <cellStyle name="Comma 3 3 2 7" xfId="1114"/>
    <cellStyle name="Comma 3 3 2 7 2" xfId="1115"/>
    <cellStyle name="Comma 3 3 2 7 2 2" xfId="1116"/>
    <cellStyle name="Comma 3 3 2 7 3" xfId="1117"/>
    <cellStyle name="Comma 3 3 2 8" xfId="1118"/>
    <cellStyle name="Comma 3 3 2 9" xfId="1119"/>
    <cellStyle name="Comma 3 3 2 9 2" xfId="1120"/>
    <cellStyle name="Comma 3 3 2 9 2 2" xfId="1121"/>
    <cellStyle name="Comma 3 3 2 9 3" xfId="1122"/>
    <cellStyle name="Comma 3 3 3" xfId="1123"/>
    <cellStyle name="Comma 3 3 3 2" xfId="1124"/>
    <cellStyle name="Comma 3 3 3 2 2" xfId="1125"/>
    <cellStyle name="Comma 3 3 3 2 2 2" xfId="1126"/>
    <cellStyle name="Comma 3 3 3 2 2 2 2" xfId="1127"/>
    <cellStyle name="Comma 3 3 3 2 2 2 2 2" xfId="1128"/>
    <cellStyle name="Comma 3 3 3 2 2 2 3" xfId="1129"/>
    <cellStyle name="Comma 3 3 3 2 2 3" xfId="1130"/>
    <cellStyle name="Comma 3 3 3 2 2 3 2" xfId="1131"/>
    <cellStyle name="Comma 3 3 3 2 2 3 2 2" xfId="1132"/>
    <cellStyle name="Comma 3 3 3 2 2 3 3" xfId="1133"/>
    <cellStyle name="Comma 3 3 3 2 2 4" xfId="1134"/>
    <cellStyle name="Comma 3 3 3 2 2 4 2" xfId="1135"/>
    <cellStyle name="Comma 3 3 3 2 2 5" xfId="1136"/>
    <cellStyle name="Comma 3 3 3 2 3" xfId="1137"/>
    <cellStyle name="Comma 3 3 3 2 3 2" xfId="1138"/>
    <cellStyle name="Comma 3 3 3 2 3 2 2" xfId="1139"/>
    <cellStyle name="Comma 3 3 3 2 3 2 2 2" xfId="1140"/>
    <cellStyle name="Comma 3 3 3 2 3 2 3" xfId="1141"/>
    <cellStyle name="Comma 3 3 3 2 3 3" xfId="1142"/>
    <cellStyle name="Comma 3 3 3 2 3 3 2" xfId="1143"/>
    <cellStyle name="Comma 3 3 3 2 3 3 2 2" xfId="1144"/>
    <cellStyle name="Comma 3 3 3 2 3 3 3" xfId="1145"/>
    <cellStyle name="Comma 3 3 3 2 3 4" xfId="1146"/>
    <cellStyle name="Comma 3 3 3 2 3 4 2" xfId="1147"/>
    <cellStyle name="Comma 3 3 3 2 3 5" xfId="1148"/>
    <cellStyle name="Comma 3 3 3 2 4" xfId="1149"/>
    <cellStyle name="Comma 3 3 3 2 4 2" xfId="1150"/>
    <cellStyle name="Comma 3 3 3 2 4 2 2" xfId="1151"/>
    <cellStyle name="Comma 3 3 3 2 4 2 2 2" xfId="1152"/>
    <cellStyle name="Comma 3 3 3 2 4 2 3" xfId="1153"/>
    <cellStyle name="Comma 3 3 3 2 4 3" xfId="1154"/>
    <cellStyle name="Comma 3 3 3 2 4 3 2" xfId="1155"/>
    <cellStyle name="Comma 3 3 3 2 4 3 2 2" xfId="1156"/>
    <cellStyle name="Comma 3 3 3 2 4 3 3" xfId="1157"/>
    <cellStyle name="Comma 3 3 3 2 4 4" xfId="1158"/>
    <cellStyle name="Comma 3 3 3 2 4 4 2" xfId="1159"/>
    <cellStyle name="Comma 3 3 3 2 4 5" xfId="1160"/>
    <cellStyle name="Comma 3 3 3 2 5" xfId="1161"/>
    <cellStyle name="Comma 3 3 3 2 5 2" xfId="1162"/>
    <cellStyle name="Comma 3 3 3 2 5 2 2" xfId="1163"/>
    <cellStyle name="Comma 3 3 3 2 5 3" xfId="1164"/>
    <cellStyle name="Comma 3 3 3 2 6" xfId="1165"/>
    <cellStyle name="Comma 3 3 3 2 6 2" xfId="1166"/>
    <cellStyle name="Comma 3 3 3 2 6 2 2" xfId="1167"/>
    <cellStyle name="Comma 3 3 3 2 6 3" xfId="1168"/>
    <cellStyle name="Comma 3 3 3 2 7" xfId="1169"/>
    <cellStyle name="Comma 3 3 3 2 8" xfId="1170"/>
    <cellStyle name="Comma 3 3 3 2 8 2" xfId="1171"/>
    <cellStyle name="Comma 3 3 3 2 8 2 2" xfId="1172"/>
    <cellStyle name="Comma 3 3 3 2 8 3" xfId="1173"/>
    <cellStyle name="Comma 3 3 3 3" xfId="1174"/>
    <cellStyle name="Comma 3 3 3 3 2" xfId="1175"/>
    <cellStyle name="Comma 3 3 3 3 2 2" xfId="1176"/>
    <cellStyle name="Comma 3 3 3 3 2 2 2" xfId="1177"/>
    <cellStyle name="Comma 3 3 3 3 2 3" xfId="1178"/>
    <cellStyle name="Comma 3 3 3 3 3" xfId="1179"/>
    <cellStyle name="Comma 3 3 3 3 3 2" xfId="1180"/>
    <cellStyle name="Comma 3 3 3 3 3 2 2" xfId="1181"/>
    <cellStyle name="Comma 3 3 3 3 3 3" xfId="1182"/>
    <cellStyle name="Comma 3 3 3 3 4" xfId="1183"/>
    <cellStyle name="Comma 3 3 3 3 4 2" xfId="1184"/>
    <cellStyle name="Comma 3 3 3 3 5" xfId="1185"/>
    <cellStyle name="Comma 3 3 3 4" xfId="1186"/>
    <cellStyle name="Comma 3 3 3 4 2" xfId="1187"/>
    <cellStyle name="Comma 3 3 3 4 2 2" xfId="1188"/>
    <cellStyle name="Comma 3 3 3 4 2 2 2" xfId="1189"/>
    <cellStyle name="Comma 3 3 3 4 2 3" xfId="1190"/>
    <cellStyle name="Comma 3 3 3 4 3" xfId="1191"/>
    <cellStyle name="Comma 3 3 3 4 3 2" xfId="1192"/>
    <cellStyle name="Comma 3 3 3 4 3 2 2" xfId="1193"/>
    <cellStyle name="Comma 3 3 3 4 3 3" xfId="1194"/>
    <cellStyle name="Comma 3 3 3 4 4" xfId="1195"/>
    <cellStyle name="Comma 3 3 3 4 4 2" xfId="1196"/>
    <cellStyle name="Comma 3 3 3 4 5" xfId="1197"/>
    <cellStyle name="Comma 3 3 3 5" xfId="1198"/>
    <cellStyle name="Comma 3 3 3 5 2" xfId="1199"/>
    <cellStyle name="Comma 3 3 3 5 2 2" xfId="1200"/>
    <cellStyle name="Comma 3 3 3 5 2 2 2" xfId="1201"/>
    <cellStyle name="Comma 3 3 3 5 2 3" xfId="1202"/>
    <cellStyle name="Comma 3 3 3 5 3" xfId="1203"/>
    <cellStyle name="Comma 3 3 3 5 3 2" xfId="1204"/>
    <cellStyle name="Comma 3 3 3 5 3 2 2" xfId="1205"/>
    <cellStyle name="Comma 3 3 3 5 3 3" xfId="1206"/>
    <cellStyle name="Comma 3 3 3 5 4" xfId="1207"/>
    <cellStyle name="Comma 3 3 3 5 4 2" xfId="1208"/>
    <cellStyle name="Comma 3 3 3 5 5" xfId="1209"/>
    <cellStyle name="Comma 3 3 3 6" xfId="1210"/>
    <cellStyle name="Comma 3 3 3 6 2" xfId="1211"/>
    <cellStyle name="Comma 3 3 3 6 2 2" xfId="1212"/>
    <cellStyle name="Comma 3 3 3 6 3" xfId="1213"/>
    <cellStyle name="Comma 3 3 3 7" xfId="1214"/>
    <cellStyle name="Comma 3 3 3 7 2" xfId="1215"/>
    <cellStyle name="Comma 3 3 3 7 2 2" xfId="1216"/>
    <cellStyle name="Comma 3 3 3 7 3" xfId="1217"/>
    <cellStyle name="Comma 3 3 3 8" xfId="1218"/>
    <cellStyle name="Comma 3 3 3 9" xfId="1219"/>
    <cellStyle name="Comma 3 3 3 9 2" xfId="1220"/>
    <cellStyle name="Comma 3 3 3 9 2 2" xfId="1221"/>
    <cellStyle name="Comma 3 3 3 9 3" xfId="1222"/>
    <cellStyle name="Comma 3 3 4" xfId="1223"/>
    <cellStyle name="Comma 3 3 4 2" xfId="1224"/>
    <cellStyle name="Comma 3 3 4 2 2" xfId="1225"/>
    <cellStyle name="Comma 3 3 4 2 2 2" xfId="1226"/>
    <cellStyle name="Comma 3 3 4 2 2 2 2" xfId="1227"/>
    <cellStyle name="Comma 3 3 4 2 2 3" xfId="1228"/>
    <cellStyle name="Comma 3 3 4 2 3" xfId="1229"/>
    <cellStyle name="Comma 3 3 4 2 3 2" xfId="1230"/>
    <cellStyle name="Comma 3 3 4 2 3 2 2" xfId="1231"/>
    <cellStyle name="Comma 3 3 4 2 3 3" xfId="1232"/>
    <cellStyle name="Comma 3 3 4 2 4" xfId="1233"/>
    <cellStyle name="Comma 3 3 4 2 4 2" xfId="1234"/>
    <cellStyle name="Comma 3 3 4 2 5" xfId="1235"/>
    <cellStyle name="Comma 3 3 4 3" xfId="1236"/>
    <cellStyle name="Comma 3 3 4 3 2" xfId="1237"/>
    <cellStyle name="Comma 3 3 4 3 2 2" xfId="1238"/>
    <cellStyle name="Comma 3 3 4 3 2 2 2" xfId="1239"/>
    <cellStyle name="Comma 3 3 4 3 2 3" xfId="1240"/>
    <cellStyle name="Comma 3 3 4 3 3" xfId="1241"/>
    <cellStyle name="Comma 3 3 4 3 3 2" xfId="1242"/>
    <cellStyle name="Comma 3 3 4 3 3 2 2" xfId="1243"/>
    <cellStyle name="Comma 3 3 4 3 3 3" xfId="1244"/>
    <cellStyle name="Comma 3 3 4 3 4" xfId="1245"/>
    <cellStyle name="Comma 3 3 4 3 4 2" xfId="1246"/>
    <cellStyle name="Comma 3 3 4 3 5" xfId="1247"/>
    <cellStyle name="Comma 3 3 4 4" xfId="1248"/>
    <cellStyle name="Comma 3 3 4 4 2" xfId="1249"/>
    <cellStyle name="Comma 3 3 4 4 2 2" xfId="1250"/>
    <cellStyle name="Comma 3 3 4 4 2 2 2" xfId="1251"/>
    <cellStyle name="Comma 3 3 4 4 2 3" xfId="1252"/>
    <cellStyle name="Comma 3 3 4 4 3" xfId="1253"/>
    <cellStyle name="Comma 3 3 4 4 3 2" xfId="1254"/>
    <cellStyle name="Comma 3 3 4 4 3 2 2" xfId="1255"/>
    <cellStyle name="Comma 3 3 4 4 3 3" xfId="1256"/>
    <cellStyle name="Comma 3 3 4 4 4" xfId="1257"/>
    <cellStyle name="Comma 3 3 4 4 4 2" xfId="1258"/>
    <cellStyle name="Comma 3 3 4 4 5" xfId="1259"/>
    <cellStyle name="Comma 3 3 4 5" xfId="1260"/>
    <cellStyle name="Comma 3 3 4 5 2" xfId="1261"/>
    <cellStyle name="Comma 3 3 4 5 2 2" xfId="1262"/>
    <cellStyle name="Comma 3 3 4 5 3" xfId="1263"/>
    <cellStyle name="Comma 3 3 4 6" xfId="1264"/>
    <cellStyle name="Comma 3 3 4 6 2" xfId="1265"/>
    <cellStyle name="Comma 3 3 4 6 2 2" xfId="1266"/>
    <cellStyle name="Comma 3 3 4 6 3" xfId="1267"/>
    <cellStyle name="Comma 3 3 4 7" xfId="1268"/>
    <cellStyle name="Comma 3 3 4 8" xfId="1269"/>
    <cellStyle name="Comma 3 3 4 8 2" xfId="1270"/>
    <cellStyle name="Comma 3 3 4 8 2 2" xfId="1271"/>
    <cellStyle name="Comma 3 3 4 8 3" xfId="1272"/>
    <cellStyle name="Comma 3 3 5" xfId="1273"/>
    <cellStyle name="Comma 3 3 5 2" xfId="1274"/>
    <cellStyle name="Comma 3 3 5 3" xfId="1275"/>
    <cellStyle name="Comma 3 3 5 3 2" xfId="1276"/>
    <cellStyle name="Comma 3 3 5 3 2 2" xfId="1277"/>
    <cellStyle name="Comma 3 3 5 3 3" xfId="1278"/>
    <cellStyle name="Comma 3 3 5 4" xfId="1279"/>
    <cellStyle name="Comma 3 3 5 4 2" xfId="1280"/>
    <cellStyle name="Comma 3 3 5 4 2 2" xfId="1281"/>
    <cellStyle name="Comma 3 3 5 4 3" xfId="1282"/>
    <cellStyle name="Comma 3 3 5 5" xfId="1283"/>
    <cellStyle name="Comma 3 3 5 5 2" xfId="1284"/>
    <cellStyle name="Comma 3 3 5 6" xfId="1285"/>
    <cellStyle name="Comma 3 3 6" xfId="1286"/>
    <cellStyle name="Comma 3 3 6 2" xfId="1287"/>
    <cellStyle name="Comma 3 3 6 2 2" xfId="1288"/>
    <cellStyle name="Comma 3 3 6 2 2 2" xfId="1289"/>
    <cellStyle name="Comma 3 3 6 2 3" xfId="1290"/>
    <cellStyle name="Comma 3 3 6 3" xfId="1291"/>
    <cellStyle name="Comma 3 3 6 3 2" xfId="1292"/>
    <cellStyle name="Comma 3 3 6 3 2 2" xfId="1293"/>
    <cellStyle name="Comma 3 3 6 3 3" xfId="1294"/>
    <cellStyle name="Comma 3 3 6 4" xfId="1295"/>
    <cellStyle name="Comma 3 3 6 4 2" xfId="1296"/>
    <cellStyle name="Comma 3 3 6 5" xfId="1297"/>
    <cellStyle name="Comma 3 3 7" xfId="1298"/>
    <cellStyle name="Comma 3 3 7 2" xfId="1299"/>
    <cellStyle name="Comma 3 3 7 2 2" xfId="1300"/>
    <cellStyle name="Comma 3 3 7 2 2 2" xfId="1301"/>
    <cellStyle name="Comma 3 3 7 2 3" xfId="1302"/>
    <cellStyle name="Comma 3 3 7 3" xfId="1303"/>
    <cellStyle name="Comma 3 3 7 3 2" xfId="1304"/>
    <cellStyle name="Comma 3 3 7 3 2 2" xfId="1305"/>
    <cellStyle name="Comma 3 3 7 3 3" xfId="1306"/>
    <cellStyle name="Comma 3 3 7 4" xfId="1307"/>
    <cellStyle name="Comma 3 3 7 4 2" xfId="1308"/>
    <cellStyle name="Comma 3 3 7 5" xfId="1309"/>
    <cellStyle name="Comma 3 3 8" xfId="1310"/>
    <cellStyle name="Comma 3 3 8 2" xfId="1311"/>
    <cellStyle name="Comma 3 3 8 2 2" xfId="1312"/>
    <cellStyle name="Comma 3 3 8 3" xfId="1313"/>
    <cellStyle name="Comma 3 3 9" xfId="1314"/>
    <cellStyle name="Comma 3 3 9 2" xfId="1315"/>
    <cellStyle name="Comma 3 3 9 2 2" xfId="1316"/>
    <cellStyle name="Comma 3 3 9 3" xfId="1317"/>
    <cellStyle name="Comma 3 4" xfId="1318"/>
    <cellStyle name="Comma 3 4 2" xfId="1319"/>
    <cellStyle name="Comma 3 4 2 2" xfId="1320"/>
    <cellStyle name="Comma 3 4 2 2 2" xfId="1321"/>
    <cellStyle name="Comma 3 4 2 2 2 2" xfId="1322"/>
    <cellStyle name="Comma 3 4 2 2 2 2 2" xfId="1323"/>
    <cellStyle name="Comma 3 4 2 2 2 3" xfId="1324"/>
    <cellStyle name="Comma 3 4 2 2 3" xfId="1325"/>
    <cellStyle name="Comma 3 4 2 2 3 2" xfId="1326"/>
    <cellStyle name="Comma 3 4 2 2 3 2 2" xfId="1327"/>
    <cellStyle name="Comma 3 4 2 2 3 3" xfId="1328"/>
    <cellStyle name="Comma 3 4 2 2 4" xfId="1329"/>
    <cellStyle name="Comma 3 4 2 2 4 2" xfId="1330"/>
    <cellStyle name="Comma 3 4 2 2 5" xfId="1331"/>
    <cellStyle name="Comma 3 4 2 3" xfId="1332"/>
    <cellStyle name="Comma 3 4 2 3 2" xfId="1333"/>
    <cellStyle name="Comma 3 4 2 3 2 2" xfId="1334"/>
    <cellStyle name="Comma 3 4 2 3 2 2 2" xfId="1335"/>
    <cellStyle name="Comma 3 4 2 3 2 3" xfId="1336"/>
    <cellStyle name="Comma 3 4 2 3 3" xfId="1337"/>
    <cellStyle name="Comma 3 4 2 3 3 2" xfId="1338"/>
    <cellStyle name="Comma 3 4 2 3 3 2 2" xfId="1339"/>
    <cellStyle name="Comma 3 4 2 3 3 3" xfId="1340"/>
    <cellStyle name="Comma 3 4 2 3 4" xfId="1341"/>
    <cellStyle name="Comma 3 4 2 3 4 2" xfId="1342"/>
    <cellStyle name="Comma 3 4 2 3 5" xfId="1343"/>
    <cellStyle name="Comma 3 4 2 4" xfId="1344"/>
    <cellStyle name="Comma 3 4 2 4 2" xfId="1345"/>
    <cellStyle name="Comma 3 4 2 4 2 2" xfId="1346"/>
    <cellStyle name="Comma 3 4 2 4 2 2 2" xfId="1347"/>
    <cellStyle name="Comma 3 4 2 4 2 3" xfId="1348"/>
    <cellStyle name="Comma 3 4 2 4 3" xfId="1349"/>
    <cellStyle name="Comma 3 4 2 4 3 2" xfId="1350"/>
    <cellStyle name="Comma 3 4 2 4 3 2 2" xfId="1351"/>
    <cellStyle name="Comma 3 4 2 4 3 3" xfId="1352"/>
    <cellStyle name="Comma 3 4 2 4 4" xfId="1353"/>
    <cellStyle name="Comma 3 4 2 4 4 2" xfId="1354"/>
    <cellStyle name="Comma 3 4 2 4 5" xfId="1355"/>
    <cellStyle name="Comma 3 4 2 5" xfId="1356"/>
    <cellStyle name="Comma 3 4 2 5 2" xfId="1357"/>
    <cellStyle name="Comma 3 4 2 5 2 2" xfId="1358"/>
    <cellStyle name="Comma 3 4 2 5 3" xfId="1359"/>
    <cellStyle name="Comma 3 4 2 6" xfId="1360"/>
    <cellStyle name="Comma 3 4 2 6 2" xfId="1361"/>
    <cellStyle name="Comma 3 4 2 6 2 2" xfId="1362"/>
    <cellStyle name="Comma 3 4 2 6 3" xfId="1363"/>
    <cellStyle name="Comma 3 4 2 7" xfId="1364"/>
    <cellStyle name="Comma 3 4 2 8" xfId="1365"/>
    <cellStyle name="Comma 3 4 2 8 2" xfId="1366"/>
    <cellStyle name="Comma 3 4 2 8 2 2" xfId="1367"/>
    <cellStyle name="Comma 3 4 2 8 3" xfId="1368"/>
    <cellStyle name="Comma 3 4 3" xfId="1369"/>
    <cellStyle name="Comma 3 4 3 2" xfId="1370"/>
    <cellStyle name="Comma 3 4 3 3" xfId="1371"/>
    <cellStyle name="Comma 3 4 3 3 2" xfId="1372"/>
    <cellStyle name="Comma 3 4 3 3 2 2" xfId="1373"/>
    <cellStyle name="Comma 3 4 3 3 3" xfId="1374"/>
    <cellStyle name="Comma 3 4 3 4" xfId="1375"/>
    <cellStyle name="Comma 3 4 3 4 2" xfId="1376"/>
    <cellStyle name="Comma 3 4 3 4 2 2" xfId="1377"/>
    <cellStyle name="Comma 3 4 3 4 3" xfId="1378"/>
    <cellStyle name="Comma 3 4 3 5" xfId="1379"/>
    <cellStyle name="Comma 3 4 3 5 2" xfId="1380"/>
    <cellStyle name="Comma 3 4 3 6" xfId="1381"/>
    <cellStyle name="Comma 3 4 4" xfId="1382"/>
    <cellStyle name="Comma 3 4 4 2" xfId="1383"/>
    <cellStyle name="Comma 3 4 4 2 2" xfId="1384"/>
    <cellStyle name="Comma 3 4 4 2 2 2" xfId="1385"/>
    <cellStyle name="Comma 3 4 4 2 3" xfId="1386"/>
    <cellStyle name="Comma 3 4 4 3" xfId="1387"/>
    <cellStyle name="Comma 3 4 4 3 2" xfId="1388"/>
    <cellStyle name="Comma 3 4 4 3 2 2" xfId="1389"/>
    <cellStyle name="Comma 3 4 4 3 3" xfId="1390"/>
    <cellStyle name="Comma 3 4 4 4" xfId="1391"/>
    <cellStyle name="Comma 3 4 4 4 2" xfId="1392"/>
    <cellStyle name="Comma 3 4 4 5" xfId="1393"/>
    <cellStyle name="Comma 3 4 5" xfId="1394"/>
    <cellStyle name="Comma 3 4 5 2" xfId="1395"/>
    <cellStyle name="Comma 3 4 5 2 2" xfId="1396"/>
    <cellStyle name="Comma 3 4 5 2 2 2" xfId="1397"/>
    <cellStyle name="Comma 3 4 5 2 3" xfId="1398"/>
    <cellStyle name="Comma 3 4 5 3" xfId="1399"/>
    <cellStyle name="Comma 3 4 5 3 2" xfId="1400"/>
    <cellStyle name="Comma 3 4 5 3 2 2" xfId="1401"/>
    <cellStyle name="Comma 3 4 5 3 3" xfId="1402"/>
    <cellStyle name="Comma 3 4 5 4" xfId="1403"/>
    <cellStyle name="Comma 3 4 5 4 2" xfId="1404"/>
    <cellStyle name="Comma 3 4 5 5" xfId="1405"/>
    <cellStyle name="Comma 3 4 6" xfId="1406"/>
    <cellStyle name="Comma 3 4 6 2" xfId="1407"/>
    <cellStyle name="Comma 3 4 6 2 2" xfId="1408"/>
    <cellStyle name="Comma 3 4 6 3" xfId="1409"/>
    <cellStyle name="Comma 3 4 7" xfId="1410"/>
    <cellStyle name="Comma 3 4 7 2" xfId="1411"/>
    <cellStyle name="Comma 3 4 7 2 2" xfId="1412"/>
    <cellStyle name="Comma 3 4 7 3" xfId="1413"/>
    <cellStyle name="Comma 3 4 8" xfId="1414"/>
    <cellStyle name="Comma 3 4 9" xfId="1415"/>
    <cellStyle name="Comma 3 4 9 2" xfId="1416"/>
    <cellStyle name="Comma 3 4 9 2 2" xfId="1417"/>
    <cellStyle name="Comma 3 4 9 3" xfId="1418"/>
    <cellStyle name="Comma 3 5" xfId="1419"/>
    <cellStyle name="Comma 3 5 2" xfId="1420"/>
    <cellStyle name="Comma 3 5 2 2" xfId="1421"/>
    <cellStyle name="Comma 3 5 2 2 2" xfId="1422"/>
    <cellStyle name="Comma 3 5 2 2 2 2" xfId="1423"/>
    <cellStyle name="Comma 3 5 2 2 2 2 2" xfId="1424"/>
    <cellStyle name="Comma 3 5 2 2 2 3" xfId="1425"/>
    <cellStyle name="Comma 3 5 2 2 3" xfId="1426"/>
    <cellStyle name="Comma 3 5 2 2 3 2" xfId="1427"/>
    <cellStyle name="Comma 3 5 2 2 3 2 2" xfId="1428"/>
    <cellStyle name="Comma 3 5 2 2 3 3" xfId="1429"/>
    <cellStyle name="Comma 3 5 2 2 4" xfId="1430"/>
    <cellStyle name="Comma 3 5 2 2 4 2" xfId="1431"/>
    <cellStyle name="Comma 3 5 2 2 5" xfId="1432"/>
    <cellStyle name="Comma 3 5 2 3" xfId="1433"/>
    <cellStyle name="Comma 3 5 2 3 2" xfId="1434"/>
    <cellStyle name="Comma 3 5 2 3 2 2" xfId="1435"/>
    <cellStyle name="Comma 3 5 2 3 2 2 2" xfId="1436"/>
    <cellStyle name="Comma 3 5 2 3 2 3" xfId="1437"/>
    <cellStyle name="Comma 3 5 2 3 3" xfId="1438"/>
    <cellStyle name="Comma 3 5 2 3 3 2" xfId="1439"/>
    <cellStyle name="Comma 3 5 2 3 3 2 2" xfId="1440"/>
    <cellStyle name="Comma 3 5 2 3 3 3" xfId="1441"/>
    <cellStyle name="Comma 3 5 2 3 4" xfId="1442"/>
    <cellStyle name="Comma 3 5 2 3 4 2" xfId="1443"/>
    <cellStyle name="Comma 3 5 2 3 5" xfId="1444"/>
    <cellStyle name="Comma 3 5 2 4" xfId="1445"/>
    <cellStyle name="Comma 3 5 2 4 2" xfId="1446"/>
    <cellStyle name="Comma 3 5 2 4 2 2" xfId="1447"/>
    <cellStyle name="Comma 3 5 2 4 2 2 2" xfId="1448"/>
    <cellStyle name="Comma 3 5 2 4 2 3" xfId="1449"/>
    <cellStyle name="Comma 3 5 2 4 3" xfId="1450"/>
    <cellStyle name="Comma 3 5 2 4 3 2" xfId="1451"/>
    <cellStyle name="Comma 3 5 2 4 3 2 2" xfId="1452"/>
    <cellStyle name="Comma 3 5 2 4 3 3" xfId="1453"/>
    <cellStyle name="Comma 3 5 2 4 4" xfId="1454"/>
    <cellStyle name="Comma 3 5 2 4 4 2" xfId="1455"/>
    <cellStyle name="Comma 3 5 2 4 5" xfId="1456"/>
    <cellStyle name="Comma 3 5 2 5" xfId="1457"/>
    <cellStyle name="Comma 3 5 2 5 2" xfId="1458"/>
    <cellStyle name="Comma 3 5 2 5 2 2" xfId="1459"/>
    <cellStyle name="Comma 3 5 2 5 3" xfId="1460"/>
    <cellStyle name="Comma 3 5 2 6" xfId="1461"/>
    <cellStyle name="Comma 3 5 2 6 2" xfId="1462"/>
    <cellStyle name="Comma 3 5 2 6 2 2" xfId="1463"/>
    <cellStyle name="Comma 3 5 2 6 3" xfId="1464"/>
    <cellStyle name="Comma 3 5 2 7" xfId="1465"/>
    <cellStyle name="Comma 3 5 2 8" xfId="1466"/>
    <cellStyle name="Comma 3 5 2 8 2" xfId="1467"/>
    <cellStyle name="Comma 3 5 2 8 2 2" xfId="1468"/>
    <cellStyle name="Comma 3 5 2 8 3" xfId="1469"/>
    <cellStyle name="Comma 3 5 3" xfId="1470"/>
    <cellStyle name="Comma 3 5 3 2" xfId="1471"/>
    <cellStyle name="Comma 3 5 3 3" xfId="1472"/>
    <cellStyle name="Comma 3 5 3 3 2" xfId="1473"/>
    <cellStyle name="Comma 3 5 3 3 2 2" xfId="1474"/>
    <cellStyle name="Comma 3 5 3 3 3" xfId="1475"/>
    <cellStyle name="Comma 3 5 3 4" xfId="1476"/>
    <cellStyle name="Comma 3 5 3 4 2" xfId="1477"/>
    <cellStyle name="Comma 3 5 3 4 2 2" xfId="1478"/>
    <cellStyle name="Comma 3 5 3 4 3" xfId="1479"/>
    <cellStyle name="Comma 3 5 3 5" xfId="1480"/>
    <cellStyle name="Comma 3 5 3 5 2" xfId="1481"/>
    <cellStyle name="Comma 3 5 3 6" xfId="1482"/>
    <cellStyle name="Comma 3 5 4" xfId="1483"/>
    <cellStyle name="Comma 3 5 4 2" xfId="1484"/>
    <cellStyle name="Comma 3 5 4 2 2" xfId="1485"/>
    <cellStyle name="Comma 3 5 4 2 2 2" xfId="1486"/>
    <cellStyle name="Comma 3 5 4 2 3" xfId="1487"/>
    <cellStyle name="Comma 3 5 4 3" xfId="1488"/>
    <cellStyle name="Comma 3 5 4 3 2" xfId="1489"/>
    <cellStyle name="Comma 3 5 4 3 2 2" xfId="1490"/>
    <cellStyle name="Comma 3 5 4 3 3" xfId="1491"/>
    <cellStyle name="Comma 3 5 4 4" xfId="1492"/>
    <cellStyle name="Comma 3 5 4 4 2" xfId="1493"/>
    <cellStyle name="Comma 3 5 4 5" xfId="1494"/>
    <cellStyle name="Comma 3 5 5" xfId="1495"/>
    <cellStyle name="Comma 3 5 5 2" xfId="1496"/>
    <cellStyle name="Comma 3 5 5 2 2" xfId="1497"/>
    <cellStyle name="Comma 3 5 5 2 2 2" xfId="1498"/>
    <cellStyle name="Comma 3 5 5 2 3" xfId="1499"/>
    <cellStyle name="Comma 3 5 5 3" xfId="1500"/>
    <cellStyle name="Comma 3 5 5 3 2" xfId="1501"/>
    <cellStyle name="Comma 3 5 5 3 2 2" xfId="1502"/>
    <cellStyle name="Comma 3 5 5 3 3" xfId="1503"/>
    <cellStyle name="Comma 3 5 5 4" xfId="1504"/>
    <cellStyle name="Comma 3 5 5 4 2" xfId="1505"/>
    <cellStyle name="Comma 3 5 5 5" xfId="1506"/>
    <cellStyle name="Comma 3 5 6" xfId="1507"/>
    <cellStyle name="Comma 3 5 6 2" xfId="1508"/>
    <cellStyle name="Comma 3 5 6 2 2" xfId="1509"/>
    <cellStyle name="Comma 3 5 6 3" xfId="1510"/>
    <cellStyle name="Comma 3 5 7" xfId="1511"/>
    <cellStyle name="Comma 3 5 7 2" xfId="1512"/>
    <cellStyle name="Comma 3 5 7 2 2" xfId="1513"/>
    <cellStyle name="Comma 3 5 7 3" xfId="1514"/>
    <cellStyle name="Comma 3 5 8" xfId="1515"/>
    <cellStyle name="Comma 3 5 9" xfId="1516"/>
    <cellStyle name="Comma 3 5 9 2" xfId="1517"/>
    <cellStyle name="Comma 3 5 9 2 2" xfId="1518"/>
    <cellStyle name="Comma 3 5 9 3" xfId="1519"/>
    <cellStyle name="Comma 3 6" xfId="1520"/>
    <cellStyle name="Comma 3 6 2" xfId="1521"/>
    <cellStyle name="Comma 3 6 2 2" xfId="1522"/>
    <cellStyle name="Comma 3 6 2 3" xfId="1523"/>
    <cellStyle name="Comma 3 6 2 3 2" xfId="1524"/>
    <cellStyle name="Comma 3 6 2 3 2 2" xfId="1525"/>
    <cellStyle name="Comma 3 6 2 3 3" xfId="1526"/>
    <cellStyle name="Comma 3 6 2 4" xfId="1527"/>
    <cellStyle name="Comma 3 6 2 4 2" xfId="1528"/>
    <cellStyle name="Comma 3 6 2 4 2 2" xfId="1529"/>
    <cellStyle name="Comma 3 6 2 4 3" xfId="1530"/>
    <cellStyle name="Comma 3 6 2 5" xfId="1531"/>
    <cellStyle name="Comma 3 6 2 5 2" xfId="1532"/>
    <cellStyle name="Comma 3 6 2 6" xfId="1533"/>
    <cellStyle name="Comma 3 6 3" xfId="1534"/>
    <cellStyle name="Comma 3 6 3 2" xfId="1535"/>
    <cellStyle name="Comma 3 6 3 2 2" xfId="1536"/>
    <cellStyle name="Comma 3 6 3 2 2 2" xfId="1537"/>
    <cellStyle name="Comma 3 6 3 2 3" xfId="1538"/>
    <cellStyle name="Comma 3 6 3 3" xfId="1539"/>
    <cellStyle name="Comma 3 6 3 3 2" xfId="1540"/>
    <cellStyle name="Comma 3 6 3 3 2 2" xfId="1541"/>
    <cellStyle name="Comma 3 6 3 3 3" xfId="1542"/>
    <cellStyle name="Comma 3 6 3 4" xfId="1543"/>
    <cellStyle name="Comma 3 6 3 4 2" xfId="1544"/>
    <cellStyle name="Comma 3 6 3 5" xfId="1545"/>
    <cellStyle name="Comma 3 6 4" xfId="1546"/>
    <cellStyle name="Comma 3 6 4 2" xfId="1547"/>
    <cellStyle name="Comma 3 6 4 2 2" xfId="1548"/>
    <cellStyle name="Comma 3 6 4 2 2 2" xfId="1549"/>
    <cellStyle name="Comma 3 6 4 2 3" xfId="1550"/>
    <cellStyle name="Comma 3 6 4 3" xfId="1551"/>
    <cellStyle name="Comma 3 6 4 3 2" xfId="1552"/>
    <cellStyle name="Comma 3 6 4 3 2 2" xfId="1553"/>
    <cellStyle name="Comma 3 6 4 3 3" xfId="1554"/>
    <cellStyle name="Comma 3 6 4 4" xfId="1555"/>
    <cellStyle name="Comma 3 6 4 4 2" xfId="1556"/>
    <cellStyle name="Comma 3 6 4 5" xfId="1557"/>
    <cellStyle name="Comma 3 6 5" xfId="1558"/>
    <cellStyle name="Comma 3 6 5 2" xfId="1559"/>
    <cellStyle name="Comma 3 6 5 2 2" xfId="1560"/>
    <cellStyle name="Comma 3 6 5 3" xfId="1561"/>
    <cellStyle name="Comma 3 6 6" xfId="1562"/>
    <cellStyle name="Comma 3 6 6 2" xfId="1563"/>
    <cellStyle name="Comma 3 6 6 2 2" xfId="1564"/>
    <cellStyle name="Comma 3 6 6 3" xfId="1565"/>
    <cellStyle name="Comma 3 6 7" xfId="1566"/>
    <cellStyle name="Comma 3 6 8" xfId="1567"/>
    <cellStyle name="Comma 3 6 8 2" xfId="1568"/>
    <cellStyle name="Comma 3 6 8 2 2" xfId="1569"/>
    <cellStyle name="Comma 3 6 8 3" xfId="1570"/>
    <cellStyle name="Comma 3 7" xfId="1571"/>
    <cellStyle name="Comma 3 7 2" xfId="1572"/>
    <cellStyle name="Comma 3 7 3" xfId="1573"/>
    <cellStyle name="Comma 3 7 3 2" xfId="1574"/>
    <cellStyle name="Comma 3 7 3 2 2" xfId="1575"/>
    <cellStyle name="Comma 3 7 3 3" xfId="1576"/>
    <cellStyle name="Comma 3 7 4" xfId="1577"/>
    <cellStyle name="Comma 3 7 4 2" xfId="1578"/>
    <cellStyle name="Comma 3 7 4 2 2" xfId="1579"/>
    <cellStyle name="Comma 3 7 4 3" xfId="1580"/>
    <cellStyle name="Comma 3 7 5" xfId="1581"/>
    <cellStyle name="Comma 3 7 6" xfId="1582"/>
    <cellStyle name="Comma 3 7 6 2" xfId="1583"/>
    <cellStyle name="Comma 3 7 6 2 2" xfId="1584"/>
    <cellStyle name="Comma 3 7 6 3" xfId="1585"/>
    <cellStyle name="Comma 3 8" xfId="1586"/>
    <cellStyle name="Comma 3 8 2" xfId="1587"/>
    <cellStyle name="Comma 3 8 3" xfId="1588"/>
    <cellStyle name="Comma 3 8 3 2" xfId="1589"/>
    <cellStyle name="Comma 3 8 3 2 2" xfId="1590"/>
    <cellStyle name="Comma 3 8 3 3" xfId="1591"/>
    <cellStyle name="Comma 3 8 4" xfId="1592"/>
    <cellStyle name="Comma 3 8 4 2" xfId="1593"/>
    <cellStyle name="Comma 3 8 4 2 2" xfId="1594"/>
    <cellStyle name="Comma 3 8 4 3" xfId="1595"/>
    <cellStyle name="Comma 3 8 5" xfId="1596"/>
    <cellStyle name="Comma 3 8 5 2" xfId="1597"/>
    <cellStyle name="Comma 3 8 6" xfId="1598"/>
    <cellStyle name="Comma 3 9" xfId="1599"/>
    <cellStyle name="Comma 3 9 2" xfId="1600"/>
    <cellStyle name="Comma 3 9 3" xfId="1601"/>
    <cellStyle name="Comma 3 9 3 2" xfId="1602"/>
    <cellStyle name="Comma 3 9 3 2 2" xfId="1603"/>
    <cellStyle name="Comma 3 9 3 3" xfId="1604"/>
    <cellStyle name="Comma 3 9 4" xfId="1605"/>
    <cellStyle name="Comma 3 9 4 2" xfId="1606"/>
    <cellStyle name="Comma 3 9 4 2 2" xfId="1607"/>
    <cellStyle name="Comma 3 9 4 3" xfId="1608"/>
    <cellStyle name="Comma 3 9 5" xfId="1609"/>
    <cellStyle name="Comma 3 9 5 2" xfId="1610"/>
    <cellStyle name="Comma 3 9 6" xfId="1611"/>
    <cellStyle name="Comma 30" xfId="1612"/>
    <cellStyle name="Comma 30 2" xfId="18198"/>
    <cellStyle name="Comma 31" xfId="1613"/>
    <cellStyle name="Comma 31 2" xfId="18199"/>
    <cellStyle name="Comma 32" xfId="1614"/>
    <cellStyle name="Comma 32 2" xfId="18200"/>
    <cellStyle name="Comma 33" xfId="1615"/>
    <cellStyle name="Comma 33 2" xfId="18201"/>
    <cellStyle name="Comma 34" xfId="1616"/>
    <cellStyle name="Comma 34 2" xfId="18202"/>
    <cellStyle name="Comma 35" xfId="1617"/>
    <cellStyle name="Comma 35 2" xfId="18203"/>
    <cellStyle name="Comma 36" xfId="1618"/>
    <cellStyle name="Comma 36 2" xfId="18204"/>
    <cellStyle name="Comma 37" xfId="1619"/>
    <cellStyle name="Comma 38" xfId="1620"/>
    <cellStyle name="Comma 39" xfId="1621"/>
    <cellStyle name="Comma 4" xfId="1622"/>
    <cellStyle name="Comma 4 10" xfId="1623"/>
    <cellStyle name="Comma 4 10 2" xfId="1624"/>
    <cellStyle name="Comma 4 10 2 2" xfId="1625"/>
    <cellStyle name="Comma 4 10 3" xfId="1626"/>
    <cellStyle name="Comma 4 2" xfId="1627"/>
    <cellStyle name="Comma 4 2 10" xfId="18205"/>
    <cellStyle name="Comma 4 2 2" xfId="1628"/>
    <cellStyle name="Comma 4 2 2 2" xfId="1629"/>
    <cellStyle name="Comma 4 2 2 2 2" xfId="1630"/>
    <cellStyle name="Comma 4 2 2 2 2 2" xfId="1631"/>
    <cellStyle name="Comma 4 2 2 2 2 2 2" xfId="1632"/>
    <cellStyle name="Comma 4 2 2 2 2 3" xfId="1633"/>
    <cellStyle name="Comma 4 2 2 2 3" xfId="1634"/>
    <cellStyle name="Comma 4 2 2 2 3 2" xfId="1635"/>
    <cellStyle name="Comma 4 2 2 2 3 2 2" xfId="1636"/>
    <cellStyle name="Comma 4 2 2 2 3 3" xfId="1637"/>
    <cellStyle name="Comma 4 2 2 2 4" xfId="1638"/>
    <cellStyle name="Comma 4 2 2 2 4 2" xfId="1639"/>
    <cellStyle name="Comma 4 2 2 2 5" xfId="1640"/>
    <cellStyle name="Comma 4 2 2 3" xfId="1641"/>
    <cellStyle name="Comma 4 2 2 3 2" xfId="1642"/>
    <cellStyle name="Comma 4 2 2 3 2 2" xfId="1643"/>
    <cellStyle name="Comma 4 2 2 3 2 2 2" xfId="1644"/>
    <cellStyle name="Comma 4 2 2 3 2 3" xfId="1645"/>
    <cellStyle name="Comma 4 2 2 3 3" xfId="1646"/>
    <cellStyle name="Comma 4 2 2 3 3 2" xfId="1647"/>
    <cellStyle name="Comma 4 2 2 3 3 2 2" xfId="1648"/>
    <cellStyle name="Comma 4 2 2 3 3 3" xfId="1649"/>
    <cellStyle name="Comma 4 2 2 3 4" xfId="1650"/>
    <cellStyle name="Comma 4 2 2 3 4 2" xfId="1651"/>
    <cellStyle name="Comma 4 2 2 3 5" xfId="1652"/>
    <cellStyle name="Comma 4 2 2 4" xfId="1653"/>
    <cellStyle name="Comma 4 2 2 4 2" xfId="1654"/>
    <cellStyle name="Comma 4 2 2 4 2 2" xfId="1655"/>
    <cellStyle name="Comma 4 2 2 4 2 2 2" xfId="1656"/>
    <cellStyle name="Comma 4 2 2 4 2 3" xfId="1657"/>
    <cellStyle name="Comma 4 2 2 4 3" xfId="1658"/>
    <cellStyle name="Comma 4 2 2 4 3 2" xfId="1659"/>
    <cellStyle name="Comma 4 2 2 4 3 2 2" xfId="1660"/>
    <cellStyle name="Comma 4 2 2 4 3 3" xfId="1661"/>
    <cellStyle name="Comma 4 2 2 4 4" xfId="1662"/>
    <cellStyle name="Comma 4 2 2 4 4 2" xfId="1663"/>
    <cellStyle name="Comma 4 2 2 4 5" xfId="1664"/>
    <cellStyle name="Comma 4 2 2 5" xfId="1665"/>
    <cellStyle name="Comma 4 2 2 5 2" xfId="1666"/>
    <cellStyle name="Comma 4 2 2 5 2 2" xfId="1667"/>
    <cellStyle name="Comma 4 2 2 5 3" xfId="1668"/>
    <cellStyle name="Comma 4 2 2 6" xfId="1669"/>
    <cellStyle name="Comma 4 2 2 6 2" xfId="1670"/>
    <cellStyle name="Comma 4 2 2 6 2 2" xfId="1671"/>
    <cellStyle name="Comma 4 2 2 6 3" xfId="1672"/>
    <cellStyle name="Comma 4 2 2 7" xfId="1673"/>
    <cellStyle name="Comma 4 2 2 8" xfId="1674"/>
    <cellStyle name="Comma 4 2 2 8 2" xfId="1675"/>
    <cellStyle name="Comma 4 2 2 8 2 2" xfId="1676"/>
    <cellStyle name="Comma 4 2 2 8 3" xfId="1677"/>
    <cellStyle name="Comma 4 2 3" xfId="1678"/>
    <cellStyle name="Comma 4 2 3 2" xfId="1679"/>
    <cellStyle name="Comma 4 2 3 2 2" xfId="1680"/>
    <cellStyle name="Comma 4 2 3 2 2 2" xfId="1681"/>
    <cellStyle name="Comma 4 2 3 2 3" xfId="1682"/>
    <cellStyle name="Comma 4 2 3 3" xfId="1683"/>
    <cellStyle name="Comma 4 2 3 3 2" xfId="1684"/>
    <cellStyle name="Comma 4 2 3 3 2 2" xfId="1685"/>
    <cellStyle name="Comma 4 2 3 3 3" xfId="1686"/>
    <cellStyle name="Comma 4 2 3 4" xfId="1687"/>
    <cellStyle name="Comma 4 2 3 4 2" xfId="1688"/>
    <cellStyle name="Comma 4 2 3 5" xfId="1689"/>
    <cellStyle name="Comma 4 2 4" xfId="1690"/>
    <cellStyle name="Comma 4 2 4 2" xfId="1691"/>
    <cellStyle name="Comma 4 2 4 2 2" xfId="1692"/>
    <cellStyle name="Comma 4 2 4 2 2 2" xfId="1693"/>
    <cellStyle name="Comma 4 2 4 2 3" xfId="1694"/>
    <cellStyle name="Comma 4 2 4 3" xfId="1695"/>
    <cellStyle name="Comma 4 2 4 3 2" xfId="1696"/>
    <cellStyle name="Comma 4 2 4 3 2 2" xfId="1697"/>
    <cellStyle name="Comma 4 2 4 3 3" xfId="1698"/>
    <cellStyle name="Comma 4 2 4 4" xfId="1699"/>
    <cellStyle name="Comma 4 2 4 4 2" xfId="1700"/>
    <cellStyle name="Comma 4 2 4 5" xfId="1701"/>
    <cellStyle name="Comma 4 2 5" xfId="1702"/>
    <cellStyle name="Comma 4 2 5 2" xfId="1703"/>
    <cellStyle name="Comma 4 2 5 2 2" xfId="1704"/>
    <cellStyle name="Comma 4 2 5 2 2 2" xfId="1705"/>
    <cellStyle name="Comma 4 2 5 2 3" xfId="1706"/>
    <cellStyle name="Comma 4 2 5 3" xfId="1707"/>
    <cellStyle name="Comma 4 2 5 3 2" xfId="1708"/>
    <cellStyle name="Comma 4 2 5 3 2 2" xfId="1709"/>
    <cellStyle name="Comma 4 2 5 3 3" xfId="1710"/>
    <cellStyle name="Comma 4 2 5 4" xfId="1711"/>
    <cellStyle name="Comma 4 2 5 4 2" xfId="1712"/>
    <cellStyle name="Comma 4 2 5 5" xfId="1713"/>
    <cellStyle name="Comma 4 2 6" xfId="1714"/>
    <cellStyle name="Comma 4 2 6 2" xfId="1715"/>
    <cellStyle name="Comma 4 2 6 2 2" xfId="1716"/>
    <cellStyle name="Comma 4 2 6 3" xfId="1717"/>
    <cellStyle name="Comma 4 2 7" xfId="1718"/>
    <cellStyle name="Comma 4 2 7 2" xfId="1719"/>
    <cellStyle name="Comma 4 2 7 2 2" xfId="1720"/>
    <cellStyle name="Comma 4 2 7 3" xfId="1721"/>
    <cellStyle name="Comma 4 2 8" xfId="1722"/>
    <cellStyle name="Comma 4 2 9" xfId="1723"/>
    <cellStyle name="Comma 4 2 9 2" xfId="1724"/>
    <cellStyle name="Comma 4 2 9 2 2" xfId="1725"/>
    <cellStyle name="Comma 4 2 9 3" xfId="1726"/>
    <cellStyle name="Comma 4 3" xfId="1727"/>
    <cellStyle name="Comma 4 3 2" xfId="1728"/>
    <cellStyle name="Comma 4 3 2 2" xfId="1729"/>
    <cellStyle name="Comma 4 3 2 2 2" xfId="1730"/>
    <cellStyle name="Comma 4 3 2 2 2 2" xfId="1731"/>
    <cellStyle name="Comma 4 3 2 2 2 2 2" xfId="1732"/>
    <cellStyle name="Comma 4 3 2 2 2 3" xfId="1733"/>
    <cellStyle name="Comma 4 3 2 2 3" xfId="1734"/>
    <cellStyle name="Comma 4 3 2 2 3 2" xfId="1735"/>
    <cellStyle name="Comma 4 3 2 2 3 2 2" xfId="1736"/>
    <cellStyle name="Comma 4 3 2 2 3 3" xfId="1737"/>
    <cellStyle name="Comma 4 3 2 2 4" xfId="1738"/>
    <cellStyle name="Comma 4 3 2 2 4 2" xfId="1739"/>
    <cellStyle name="Comma 4 3 2 2 5" xfId="1740"/>
    <cellStyle name="Comma 4 3 2 3" xfId="1741"/>
    <cellStyle name="Comma 4 3 2 3 2" xfId="1742"/>
    <cellStyle name="Comma 4 3 2 3 2 2" xfId="1743"/>
    <cellStyle name="Comma 4 3 2 3 2 2 2" xfId="1744"/>
    <cellStyle name="Comma 4 3 2 3 2 3" xfId="1745"/>
    <cellStyle name="Comma 4 3 2 3 3" xfId="1746"/>
    <cellStyle name="Comma 4 3 2 3 3 2" xfId="1747"/>
    <cellStyle name="Comma 4 3 2 3 3 2 2" xfId="1748"/>
    <cellStyle name="Comma 4 3 2 3 3 3" xfId="1749"/>
    <cellStyle name="Comma 4 3 2 3 4" xfId="1750"/>
    <cellStyle name="Comma 4 3 2 3 4 2" xfId="1751"/>
    <cellStyle name="Comma 4 3 2 3 5" xfId="1752"/>
    <cellStyle name="Comma 4 3 2 4" xfId="1753"/>
    <cellStyle name="Comma 4 3 2 4 2" xfId="1754"/>
    <cellStyle name="Comma 4 3 2 4 2 2" xfId="1755"/>
    <cellStyle name="Comma 4 3 2 4 2 2 2" xfId="1756"/>
    <cellStyle name="Comma 4 3 2 4 2 3" xfId="1757"/>
    <cellStyle name="Comma 4 3 2 4 3" xfId="1758"/>
    <cellStyle name="Comma 4 3 2 4 3 2" xfId="1759"/>
    <cellStyle name="Comma 4 3 2 4 3 2 2" xfId="1760"/>
    <cellStyle name="Comma 4 3 2 4 3 3" xfId="1761"/>
    <cellStyle name="Comma 4 3 2 4 4" xfId="1762"/>
    <cellStyle name="Comma 4 3 2 4 4 2" xfId="1763"/>
    <cellStyle name="Comma 4 3 2 4 5" xfId="1764"/>
    <cellStyle name="Comma 4 3 2 5" xfId="1765"/>
    <cellStyle name="Comma 4 3 2 5 2" xfId="1766"/>
    <cellStyle name="Comma 4 3 2 5 2 2" xfId="1767"/>
    <cellStyle name="Comma 4 3 2 5 3" xfId="1768"/>
    <cellStyle name="Comma 4 3 2 6" xfId="1769"/>
    <cellStyle name="Comma 4 3 2 6 2" xfId="1770"/>
    <cellStyle name="Comma 4 3 2 6 2 2" xfId="1771"/>
    <cellStyle name="Comma 4 3 2 6 3" xfId="1772"/>
    <cellStyle name="Comma 4 3 2 7" xfId="1773"/>
    <cellStyle name="Comma 4 3 2 8" xfId="1774"/>
    <cellStyle name="Comma 4 3 2 8 2" xfId="1775"/>
    <cellStyle name="Comma 4 3 2 8 2 2" xfId="1776"/>
    <cellStyle name="Comma 4 3 2 8 3" xfId="1777"/>
    <cellStyle name="Comma 4 3 3" xfId="1778"/>
    <cellStyle name="Comma 4 3 3 2" xfId="1779"/>
    <cellStyle name="Comma 4 3 3 2 2" xfId="1780"/>
    <cellStyle name="Comma 4 3 3 2 2 2" xfId="1781"/>
    <cellStyle name="Comma 4 3 3 2 3" xfId="1782"/>
    <cellStyle name="Comma 4 3 3 3" xfId="1783"/>
    <cellStyle name="Comma 4 3 3 3 2" xfId="1784"/>
    <cellStyle name="Comma 4 3 3 3 2 2" xfId="1785"/>
    <cellStyle name="Comma 4 3 3 3 3" xfId="1786"/>
    <cellStyle name="Comma 4 3 3 4" xfId="1787"/>
    <cellStyle name="Comma 4 3 3 4 2" xfId="1788"/>
    <cellStyle name="Comma 4 3 3 5" xfId="1789"/>
    <cellStyle name="Comma 4 3 4" xfId="1790"/>
    <cellStyle name="Comma 4 3 4 2" xfId="1791"/>
    <cellStyle name="Comma 4 3 4 2 2" xfId="1792"/>
    <cellStyle name="Comma 4 3 4 2 2 2" xfId="1793"/>
    <cellStyle name="Comma 4 3 4 2 3" xfId="1794"/>
    <cellStyle name="Comma 4 3 4 3" xfId="1795"/>
    <cellStyle name="Comma 4 3 4 3 2" xfId="1796"/>
    <cellStyle name="Comma 4 3 4 3 2 2" xfId="1797"/>
    <cellStyle name="Comma 4 3 4 3 3" xfId="1798"/>
    <cellStyle name="Comma 4 3 4 4" xfId="1799"/>
    <cellStyle name="Comma 4 3 4 4 2" xfId="1800"/>
    <cellStyle name="Comma 4 3 4 5" xfId="1801"/>
    <cellStyle name="Comma 4 3 5" xfId="1802"/>
    <cellStyle name="Comma 4 3 5 2" xfId="1803"/>
    <cellStyle name="Comma 4 3 5 2 2" xfId="1804"/>
    <cellStyle name="Comma 4 3 5 2 2 2" xfId="1805"/>
    <cellStyle name="Comma 4 3 5 2 3" xfId="1806"/>
    <cellStyle name="Comma 4 3 5 3" xfId="1807"/>
    <cellStyle name="Comma 4 3 5 3 2" xfId="1808"/>
    <cellStyle name="Comma 4 3 5 3 2 2" xfId="1809"/>
    <cellStyle name="Comma 4 3 5 3 3" xfId="1810"/>
    <cellStyle name="Comma 4 3 5 4" xfId="1811"/>
    <cellStyle name="Comma 4 3 5 4 2" xfId="1812"/>
    <cellStyle name="Comma 4 3 5 5" xfId="1813"/>
    <cellStyle name="Comma 4 3 6" xfId="1814"/>
    <cellStyle name="Comma 4 3 6 2" xfId="1815"/>
    <cellStyle name="Comma 4 3 6 2 2" xfId="1816"/>
    <cellStyle name="Comma 4 3 6 3" xfId="1817"/>
    <cellStyle name="Comma 4 3 7" xfId="1818"/>
    <cellStyle name="Comma 4 3 7 2" xfId="1819"/>
    <cellStyle name="Comma 4 3 7 2 2" xfId="1820"/>
    <cellStyle name="Comma 4 3 7 3" xfId="1821"/>
    <cellStyle name="Comma 4 3 8" xfId="1822"/>
    <cellStyle name="Comma 4 3 9" xfId="1823"/>
    <cellStyle name="Comma 4 3 9 2" xfId="1824"/>
    <cellStyle name="Comma 4 3 9 2 2" xfId="1825"/>
    <cellStyle name="Comma 4 3 9 3" xfId="1826"/>
    <cellStyle name="Comma 4 4" xfId="1827"/>
    <cellStyle name="Comma 4 4 2" xfId="1828"/>
    <cellStyle name="Comma 4 4 2 2" xfId="1829"/>
    <cellStyle name="Comma 4 4 2 2 2" xfId="1830"/>
    <cellStyle name="Comma 4 4 2 2 2 2" xfId="1831"/>
    <cellStyle name="Comma 4 4 2 2 3" xfId="1832"/>
    <cellStyle name="Comma 4 4 2 3" xfId="1833"/>
    <cellStyle name="Comma 4 4 2 3 2" xfId="1834"/>
    <cellStyle name="Comma 4 4 2 3 2 2" xfId="1835"/>
    <cellStyle name="Comma 4 4 2 3 3" xfId="1836"/>
    <cellStyle name="Comma 4 4 2 4" xfId="1837"/>
    <cellStyle name="Comma 4 4 2 4 2" xfId="1838"/>
    <cellStyle name="Comma 4 4 2 5" xfId="1839"/>
    <cellStyle name="Comma 4 4 3" xfId="1840"/>
    <cellStyle name="Comma 4 4 3 2" xfId="1841"/>
    <cellStyle name="Comma 4 4 3 2 2" xfId="1842"/>
    <cellStyle name="Comma 4 4 3 2 2 2" xfId="1843"/>
    <cellStyle name="Comma 4 4 3 2 3" xfId="1844"/>
    <cellStyle name="Comma 4 4 3 3" xfId="1845"/>
    <cellStyle name="Comma 4 4 3 3 2" xfId="1846"/>
    <cellStyle name="Comma 4 4 3 3 2 2" xfId="1847"/>
    <cellStyle name="Comma 4 4 3 3 3" xfId="1848"/>
    <cellStyle name="Comma 4 4 3 4" xfId="1849"/>
    <cellStyle name="Comma 4 4 3 4 2" xfId="1850"/>
    <cellStyle name="Comma 4 4 3 5" xfId="1851"/>
    <cellStyle name="Comma 4 4 4" xfId="1852"/>
    <cellStyle name="Comma 4 4 4 2" xfId="1853"/>
    <cellStyle name="Comma 4 4 4 2 2" xfId="1854"/>
    <cellStyle name="Comma 4 4 4 2 2 2" xfId="1855"/>
    <cellStyle name="Comma 4 4 4 2 3" xfId="1856"/>
    <cellStyle name="Comma 4 4 4 3" xfId="1857"/>
    <cellStyle name="Comma 4 4 4 3 2" xfId="1858"/>
    <cellStyle name="Comma 4 4 4 3 2 2" xfId="1859"/>
    <cellStyle name="Comma 4 4 4 3 3" xfId="1860"/>
    <cellStyle name="Comma 4 4 4 4" xfId="1861"/>
    <cellStyle name="Comma 4 4 4 4 2" xfId="1862"/>
    <cellStyle name="Comma 4 4 4 5" xfId="1863"/>
    <cellStyle name="Comma 4 4 5" xfId="1864"/>
    <cellStyle name="Comma 4 4 5 2" xfId="1865"/>
    <cellStyle name="Comma 4 4 5 2 2" xfId="1866"/>
    <cellStyle name="Comma 4 4 5 3" xfId="1867"/>
    <cellStyle name="Comma 4 4 6" xfId="1868"/>
    <cellStyle name="Comma 4 4 6 2" xfId="1869"/>
    <cellStyle name="Comma 4 4 6 2 2" xfId="1870"/>
    <cellStyle name="Comma 4 4 6 3" xfId="1871"/>
    <cellStyle name="Comma 4 4 7" xfId="1872"/>
    <cellStyle name="Comma 4 4 8" xfId="1873"/>
    <cellStyle name="Comma 4 4 8 2" xfId="1874"/>
    <cellStyle name="Comma 4 4 8 2 2" xfId="1875"/>
    <cellStyle name="Comma 4 4 8 3" xfId="1876"/>
    <cellStyle name="Comma 4 5" xfId="1877"/>
    <cellStyle name="Comma 4 5 2" xfId="1878"/>
    <cellStyle name="Comma 4 5 2 2" xfId="1879"/>
    <cellStyle name="Comma 4 5 2 2 2" xfId="1880"/>
    <cellStyle name="Comma 4 5 2 3" xfId="1881"/>
    <cellStyle name="Comma 4 5 3" xfId="1882"/>
    <cellStyle name="Comma 4 5 3 2" xfId="1883"/>
    <cellStyle name="Comma 4 5 3 2 2" xfId="1884"/>
    <cellStyle name="Comma 4 5 3 3" xfId="1885"/>
    <cellStyle name="Comma 4 5 4" xfId="1886"/>
    <cellStyle name="Comma 4 5 4 2" xfId="1887"/>
    <cellStyle name="Comma 4 5 5" xfId="1888"/>
    <cellStyle name="Comma 4 6" xfId="1889"/>
    <cellStyle name="Comma 4 6 2" xfId="1890"/>
    <cellStyle name="Comma 4 6 2 2" xfId="1891"/>
    <cellStyle name="Comma 4 6 2 2 2" xfId="1892"/>
    <cellStyle name="Comma 4 6 2 3" xfId="1893"/>
    <cellStyle name="Comma 4 6 3" xfId="1894"/>
    <cellStyle name="Comma 4 6 3 2" xfId="1895"/>
    <cellStyle name="Comma 4 6 3 2 2" xfId="1896"/>
    <cellStyle name="Comma 4 6 3 3" xfId="1897"/>
    <cellStyle name="Comma 4 6 4" xfId="1898"/>
    <cellStyle name="Comma 4 6 4 2" xfId="1899"/>
    <cellStyle name="Comma 4 6 5" xfId="1900"/>
    <cellStyle name="Comma 4 7" xfId="1901"/>
    <cellStyle name="Comma 4 7 2" xfId="1902"/>
    <cellStyle name="Comma 4 7 2 2" xfId="1903"/>
    <cellStyle name="Comma 4 7 2 2 2" xfId="1904"/>
    <cellStyle name="Comma 4 7 2 3" xfId="1905"/>
    <cellStyle name="Comma 4 7 3" xfId="1906"/>
    <cellStyle name="Comma 4 7 3 2" xfId="1907"/>
    <cellStyle name="Comma 4 7 3 2 2" xfId="1908"/>
    <cellStyle name="Comma 4 7 3 3" xfId="1909"/>
    <cellStyle name="Comma 4 7 4" xfId="1910"/>
    <cellStyle name="Comma 4 7 4 2" xfId="1911"/>
    <cellStyle name="Comma 4 7 5" xfId="1912"/>
    <cellStyle name="Comma 4 8" xfId="1913"/>
    <cellStyle name="Comma 4 9" xfId="1914"/>
    <cellStyle name="Comma 40" xfId="1915"/>
    <cellStyle name="Comma 41" xfId="1916"/>
    <cellStyle name="Comma 42" xfId="1917"/>
    <cellStyle name="Comma 43" xfId="1918"/>
    <cellStyle name="Comma 44" xfId="1919"/>
    <cellStyle name="Comma 45" xfId="1920"/>
    <cellStyle name="Comma 46" xfId="1921"/>
    <cellStyle name="Comma 47" xfId="1922"/>
    <cellStyle name="Comma 48" xfId="18206"/>
    <cellStyle name="Comma 49" xfId="18207"/>
    <cellStyle name="Comma 5" xfId="1923"/>
    <cellStyle name="Comma 5 10" xfId="1924"/>
    <cellStyle name="Comma 5 10 2" xfId="1925"/>
    <cellStyle name="Comma 5 10 2 2" xfId="1926"/>
    <cellStyle name="Comma 5 10 2 2 2" xfId="1927"/>
    <cellStyle name="Comma 5 10 2 3" xfId="1928"/>
    <cellStyle name="Comma 5 10 3" xfId="1929"/>
    <cellStyle name="Comma 5 10 3 2" xfId="1930"/>
    <cellStyle name="Comma 5 10 3 2 2" xfId="1931"/>
    <cellStyle name="Comma 5 10 3 3" xfId="1932"/>
    <cellStyle name="Comma 5 10 4" xfId="1933"/>
    <cellStyle name="Comma 5 10 4 2" xfId="1934"/>
    <cellStyle name="Comma 5 10 5" xfId="1935"/>
    <cellStyle name="Comma 5 11" xfId="1936"/>
    <cellStyle name="Comma 5 11 2" xfId="1937"/>
    <cellStyle name="Comma 5 11 2 2" xfId="1938"/>
    <cellStyle name="Comma 5 11 2 2 2" xfId="1939"/>
    <cellStyle name="Comma 5 11 2 3" xfId="1940"/>
    <cellStyle name="Comma 5 11 3" xfId="1941"/>
    <cellStyle name="Comma 5 11 3 2" xfId="1942"/>
    <cellStyle name="Comma 5 11 3 2 2" xfId="1943"/>
    <cellStyle name="Comma 5 11 3 3" xfId="1944"/>
    <cellStyle name="Comma 5 11 4" xfId="1945"/>
    <cellStyle name="Comma 5 11 4 2" xfId="1946"/>
    <cellStyle name="Comma 5 11 5" xfId="1947"/>
    <cellStyle name="Comma 5 12" xfId="1948"/>
    <cellStyle name="Comma 5 13" xfId="1949"/>
    <cellStyle name="Comma 5 13 2" xfId="1950"/>
    <cellStyle name="Comma 5 13 2 2" xfId="1951"/>
    <cellStyle name="Comma 5 13 3" xfId="1952"/>
    <cellStyle name="Comma 5 14" xfId="18208"/>
    <cellStyle name="Comma 5 15" xfId="18209"/>
    <cellStyle name="Comma 5 16" xfId="18210"/>
    <cellStyle name="Comma 5 2" xfId="1953"/>
    <cellStyle name="Comma 5 2 2" xfId="1954"/>
    <cellStyle name="Comma 5 3" xfId="1955"/>
    <cellStyle name="Comma 5 3 2" xfId="1956"/>
    <cellStyle name="Comma 5 4" xfId="1957"/>
    <cellStyle name="Comma 5 5" xfId="1958"/>
    <cellStyle name="Comma 5 5 2" xfId="1959"/>
    <cellStyle name="Comma 5 5 2 2" xfId="1960"/>
    <cellStyle name="Comma 5 5 2 2 2" xfId="1961"/>
    <cellStyle name="Comma 5 5 2 2 2 2" xfId="1962"/>
    <cellStyle name="Comma 5 5 2 2 2 2 2" xfId="1963"/>
    <cellStyle name="Comma 5 5 2 2 2 3" xfId="1964"/>
    <cellStyle name="Comma 5 5 2 2 3" xfId="1965"/>
    <cellStyle name="Comma 5 5 2 2 3 2" xfId="1966"/>
    <cellStyle name="Comma 5 5 2 2 3 2 2" xfId="1967"/>
    <cellStyle name="Comma 5 5 2 2 3 3" xfId="1968"/>
    <cellStyle name="Comma 5 5 2 2 4" xfId="1969"/>
    <cellStyle name="Comma 5 5 2 2 4 2" xfId="1970"/>
    <cellStyle name="Comma 5 5 2 2 5" xfId="1971"/>
    <cellStyle name="Comma 5 5 2 3" xfId="1972"/>
    <cellStyle name="Comma 5 5 2 3 2" xfId="1973"/>
    <cellStyle name="Comma 5 5 2 3 2 2" xfId="1974"/>
    <cellStyle name="Comma 5 5 2 3 2 2 2" xfId="1975"/>
    <cellStyle name="Comma 5 5 2 3 2 3" xfId="1976"/>
    <cellStyle name="Comma 5 5 2 3 3" xfId="1977"/>
    <cellStyle name="Comma 5 5 2 3 3 2" xfId="1978"/>
    <cellStyle name="Comma 5 5 2 3 3 2 2" xfId="1979"/>
    <cellStyle name="Comma 5 5 2 3 3 3" xfId="1980"/>
    <cellStyle name="Comma 5 5 2 3 4" xfId="1981"/>
    <cellStyle name="Comma 5 5 2 3 4 2" xfId="1982"/>
    <cellStyle name="Comma 5 5 2 3 5" xfId="1983"/>
    <cellStyle name="Comma 5 5 2 4" xfId="1984"/>
    <cellStyle name="Comma 5 5 2 4 2" xfId="1985"/>
    <cellStyle name="Comma 5 5 2 4 2 2" xfId="1986"/>
    <cellStyle name="Comma 5 5 2 4 2 2 2" xfId="1987"/>
    <cellStyle name="Comma 5 5 2 4 2 3" xfId="1988"/>
    <cellStyle name="Comma 5 5 2 4 3" xfId="1989"/>
    <cellStyle name="Comma 5 5 2 4 3 2" xfId="1990"/>
    <cellStyle name="Comma 5 5 2 4 3 2 2" xfId="1991"/>
    <cellStyle name="Comma 5 5 2 4 3 3" xfId="1992"/>
    <cellStyle name="Comma 5 5 2 4 4" xfId="1993"/>
    <cellStyle name="Comma 5 5 2 4 4 2" xfId="1994"/>
    <cellStyle name="Comma 5 5 2 4 5" xfId="1995"/>
    <cellStyle name="Comma 5 5 2 5" xfId="1996"/>
    <cellStyle name="Comma 5 5 2 5 2" xfId="1997"/>
    <cellStyle name="Comma 5 5 2 5 2 2" xfId="1998"/>
    <cellStyle name="Comma 5 5 2 5 3" xfId="1999"/>
    <cellStyle name="Comma 5 5 2 6" xfId="2000"/>
    <cellStyle name="Comma 5 5 2 6 2" xfId="2001"/>
    <cellStyle name="Comma 5 5 2 6 2 2" xfId="2002"/>
    <cellStyle name="Comma 5 5 2 6 3" xfId="2003"/>
    <cellStyle name="Comma 5 5 2 7" xfId="2004"/>
    <cellStyle name="Comma 5 5 2 8" xfId="2005"/>
    <cellStyle name="Comma 5 5 2 8 2" xfId="2006"/>
    <cellStyle name="Comma 5 5 2 8 2 2" xfId="2007"/>
    <cellStyle name="Comma 5 5 2 8 3" xfId="2008"/>
    <cellStyle name="Comma 5 5 3" xfId="2009"/>
    <cellStyle name="Comma 5 5 3 2" xfId="2010"/>
    <cellStyle name="Comma 5 5 3 2 2" xfId="2011"/>
    <cellStyle name="Comma 5 5 3 2 2 2" xfId="2012"/>
    <cellStyle name="Comma 5 5 3 2 3" xfId="2013"/>
    <cellStyle name="Comma 5 5 3 3" xfId="2014"/>
    <cellStyle name="Comma 5 5 3 3 2" xfId="2015"/>
    <cellStyle name="Comma 5 5 3 3 2 2" xfId="2016"/>
    <cellStyle name="Comma 5 5 3 3 3" xfId="2017"/>
    <cellStyle name="Comma 5 5 3 4" xfId="2018"/>
    <cellStyle name="Comma 5 5 3 4 2" xfId="2019"/>
    <cellStyle name="Comma 5 5 3 5" xfId="2020"/>
    <cellStyle name="Comma 5 5 4" xfId="2021"/>
    <cellStyle name="Comma 5 5 4 2" xfId="2022"/>
    <cellStyle name="Comma 5 5 4 2 2" xfId="2023"/>
    <cellStyle name="Comma 5 5 4 2 2 2" xfId="2024"/>
    <cellStyle name="Comma 5 5 4 2 3" xfId="2025"/>
    <cellStyle name="Comma 5 5 4 3" xfId="2026"/>
    <cellStyle name="Comma 5 5 4 3 2" xfId="2027"/>
    <cellStyle name="Comma 5 5 4 3 2 2" xfId="2028"/>
    <cellStyle name="Comma 5 5 4 3 3" xfId="2029"/>
    <cellStyle name="Comma 5 5 4 4" xfId="2030"/>
    <cellStyle name="Comma 5 5 4 4 2" xfId="2031"/>
    <cellStyle name="Comma 5 5 4 5" xfId="2032"/>
    <cellStyle name="Comma 5 5 5" xfId="2033"/>
    <cellStyle name="Comma 5 5 5 2" xfId="2034"/>
    <cellStyle name="Comma 5 5 5 2 2" xfId="2035"/>
    <cellStyle name="Comma 5 5 5 2 2 2" xfId="2036"/>
    <cellStyle name="Comma 5 5 5 2 3" xfId="2037"/>
    <cellStyle name="Comma 5 5 5 3" xfId="2038"/>
    <cellStyle name="Comma 5 5 5 3 2" xfId="2039"/>
    <cellStyle name="Comma 5 5 5 3 2 2" xfId="2040"/>
    <cellStyle name="Comma 5 5 5 3 3" xfId="2041"/>
    <cellStyle name="Comma 5 5 5 4" xfId="2042"/>
    <cellStyle name="Comma 5 5 5 4 2" xfId="2043"/>
    <cellStyle name="Comma 5 5 5 5" xfId="2044"/>
    <cellStyle name="Comma 5 5 6" xfId="2045"/>
    <cellStyle name="Comma 5 5 6 2" xfId="2046"/>
    <cellStyle name="Comma 5 5 6 2 2" xfId="2047"/>
    <cellStyle name="Comma 5 5 6 3" xfId="2048"/>
    <cellStyle name="Comma 5 5 7" xfId="2049"/>
    <cellStyle name="Comma 5 5 7 2" xfId="2050"/>
    <cellStyle name="Comma 5 5 7 2 2" xfId="2051"/>
    <cellStyle name="Comma 5 5 7 3" xfId="2052"/>
    <cellStyle name="Comma 5 5 8" xfId="2053"/>
    <cellStyle name="Comma 5 5 9" xfId="2054"/>
    <cellStyle name="Comma 5 5 9 2" xfId="2055"/>
    <cellStyle name="Comma 5 5 9 2 2" xfId="2056"/>
    <cellStyle name="Comma 5 5 9 3" xfId="2057"/>
    <cellStyle name="Comma 5 6" xfId="2058"/>
    <cellStyle name="Comma 5 6 2" xfId="2059"/>
    <cellStyle name="Comma 5 6 2 2" xfId="2060"/>
    <cellStyle name="Comma 5 6 2 2 2" xfId="2061"/>
    <cellStyle name="Comma 5 6 2 2 2 2" xfId="2062"/>
    <cellStyle name="Comma 5 6 2 2 2 2 2" xfId="2063"/>
    <cellStyle name="Comma 5 6 2 2 2 3" xfId="2064"/>
    <cellStyle name="Comma 5 6 2 2 3" xfId="2065"/>
    <cellStyle name="Comma 5 6 2 2 3 2" xfId="2066"/>
    <cellStyle name="Comma 5 6 2 2 3 2 2" xfId="2067"/>
    <cellStyle name="Comma 5 6 2 2 3 3" xfId="2068"/>
    <cellStyle name="Comma 5 6 2 2 4" xfId="2069"/>
    <cellStyle name="Comma 5 6 2 2 4 2" xfId="2070"/>
    <cellStyle name="Comma 5 6 2 2 5" xfId="2071"/>
    <cellStyle name="Comma 5 6 2 3" xfId="2072"/>
    <cellStyle name="Comma 5 6 2 3 2" xfId="2073"/>
    <cellStyle name="Comma 5 6 2 3 2 2" xfId="2074"/>
    <cellStyle name="Comma 5 6 2 3 2 2 2" xfId="2075"/>
    <cellStyle name="Comma 5 6 2 3 2 3" xfId="2076"/>
    <cellStyle name="Comma 5 6 2 3 3" xfId="2077"/>
    <cellStyle name="Comma 5 6 2 3 3 2" xfId="2078"/>
    <cellStyle name="Comma 5 6 2 3 3 2 2" xfId="2079"/>
    <cellStyle name="Comma 5 6 2 3 3 3" xfId="2080"/>
    <cellStyle name="Comma 5 6 2 3 4" xfId="2081"/>
    <cellStyle name="Comma 5 6 2 3 4 2" xfId="2082"/>
    <cellStyle name="Comma 5 6 2 3 5" xfId="2083"/>
    <cellStyle name="Comma 5 6 2 4" xfId="2084"/>
    <cellStyle name="Comma 5 6 2 4 2" xfId="2085"/>
    <cellStyle name="Comma 5 6 2 4 2 2" xfId="2086"/>
    <cellStyle name="Comma 5 6 2 4 2 2 2" xfId="2087"/>
    <cellStyle name="Comma 5 6 2 4 2 3" xfId="2088"/>
    <cellStyle name="Comma 5 6 2 4 3" xfId="2089"/>
    <cellStyle name="Comma 5 6 2 4 3 2" xfId="2090"/>
    <cellStyle name="Comma 5 6 2 4 3 2 2" xfId="2091"/>
    <cellStyle name="Comma 5 6 2 4 3 3" xfId="2092"/>
    <cellStyle name="Comma 5 6 2 4 4" xfId="2093"/>
    <cellStyle name="Comma 5 6 2 4 4 2" xfId="2094"/>
    <cellStyle name="Comma 5 6 2 4 5" xfId="2095"/>
    <cellStyle name="Comma 5 6 2 5" xfId="2096"/>
    <cellStyle name="Comma 5 6 2 5 2" xfId="2097"/>
    <cellStyle name="Comma 5 6 2 5 2 2" xfId="2098"/>
    <cellStyle name="Comma 5 6 2 5 3" xfId="2099"/>
    <cellStyle name="Comma 5 6 2 6" xfId="2100"/>
    <cellStyle name="Comma 5 6 2 6 2" xfId="2101"/>
    <cellStyle name="Comma 5 6 2 6 2 2" xfId="2102"/>
    <cellStyle name="Comma 5 6 2 6 3" xfId="2103"/>
    <cellStyle name="Comma 5 6 2 7" xfId="2104"/>
    <cellStyle name="Comma 5 6 2 8" xfId="2105"/>
    <cellStyle name="Comma 5 6 2 8 2" xfId="2106"/>
    <cellStyle name="Comma 5 6 2 8 2 2" xfId="2107"/>
    <cellStyle name="Comma 5 6 2 8 3" xfId="2108"/>
    <cellStyle name="Comma 5 6 3" xfId="2109"/>
    <cellStyle name="Comma 5 6 3 2" xfId="2110"/>
    <cellStyle name="Comma 5 6 3 2 2" xfId="2111"/>
    <cellStyle name="Comma 5 6 3 2 2 2" xfId="2112"/>
    <cellStyle name="Comma 5 6 3 2 3" xfId="2113"/>
    <cellStyle name="Comma 5 6 3 3" xfId="2114"/>
    <cellStyle name="Comma 5 6 3 3 2" xfId="2115"/>
    <cellStyle name="Comma 5 6 3 3 2 2" xfId="2116"/>
    <cellStyle name="Comma 5 6 3 3 3" xfId="2117"/>
    <cellStyle name="Comma 5 6 3 4" xfId="2118"/>
    <cellStyle name="Comma 5 6 3 4 2" xfId="2119"/>
    <cellStyle name="Comma 5 6 3 5" xfId="2120"/>
    <cellStyle name="Comma 5 6 4" xfId="2121"/>
    <cellStyle name="Comma 5 6 4 2" xfId="2122"/>
    <cellStyle name="Comma 5 6 4 2 2" xfId="2123"/>
    <cellStyle name="Comma 5 6 4 2 2 2" xfId="2124"/>
    <cellStyle name="Comma 5 6 4 2 3" xfId="2125"/>
    <cellStyle name="Comma 5 6 4 3" xfId="2126"/>
    <cellStyle name="Comma 5 6 4 3 2" xfId="2127"/>
    <cellStyle name="Comma 5 6 4 3 2 2" xfId="2128"/>
    <cellStyle name="Comma 5 6 4 3 3" xfId="2129"/>
    <cellStyle name="Comma 5 6 4 4" xfId="2130"/>
    <cellStyle name="Comma 5 6 4 4 2" xfId="2131"/>
    <cellStyle name="Comma 5 6 4 5" xfId="2132"/>
    <cellStyle name="Comma 5 6 5" xfId="2133"/>
    <cellStyle name="Comma 5 6 5 2" xfId="2134"/>
    <cellStyle name="Comma 5 6 5 2 2" xfId="2135"/>
    <cellStyle name="Comma 5 6 5 2 2 2" xfId="2136"/>
    <cellStyle name="Comma 5 6 5 2 3" xfId="2137"/>
    <cellStyle name="Comma 5 6 5 3" xfId="2138"/>
    <cellStyle name="Comma 5 6 5 3 2" xfId="2139"/>
    <cellStyle name="Comma 5 6 5 3 2 2" xfId="2140"/>
    <cellStyle name="Comma 5 6 5 3 3" xfId="2141"/>
    <cellStyle name="Comma 5 6 5 4" xfId="2142"/>
    <cellStyle name="Comma 5 6 5 4 2" xfId="2143"/>
    <cellStyle name="Comma 5 6 5 5" xfId="2144"/>
    <cellStyle name="Comma 5 6 6" xfId="2145"/>
    <cellStyle name="Comma 5 6 6 2" xfId="2146"/>
    <cellStyle name="Comma 5 6 6 2 2" xfId="2147"/>
    <cellStyle name="Comma 5 6 6 3" xfId="2148"/>
    <cellStyle name="Comma 5 6 7" xfId="2149"/>
    <cellStyle name="Comma 5 6 7 2" xfId="2150"/>
    <cellStyle name="Comma 5 6 7 2 2" xfId="2151"/>
    <cellStyle name="Comma 5 6 7 3" xfId="2152"/>
    <cellStyle name="Comma 5 6 8" xfId="2153"/>
    <cellStyle name="Comma 5 6 9" xfId="2154"/>
    <cellStyle name="Comma 5 6 9 2" xfId="2155"/>
    <cellStyle name="Comma 5 6 9 2 2" xfId="2156"/>
    <cellStyle name="Comma 5 6 9 3" xfId="2157"/>
    <cellStyle name="Comma 5 7" xfId="2158"/>
    <cellStyle name="Comma 5 7 2" xfId="2159"/>
    <cellStyle name="Comma 5 7 2 2" xfId="2160"/>
    <cellStyle name="Comma 5 7 2 2 2" xfId="2161"/>
    <cellStyle name="Comma 5 7 2 2 2 2" xfId="2162"/>
    <cellStyle name="Comma 5 7 2 2 3" xfId="2163"/>
    <cellStyle name="Comma 5 7 2 3" xfId="2164"/>
    <cellStyle name="Comma 5 7 2 3 2" xfId="2165"/>
    <cellStyle name="Comma 5 7 2 3 2 2" xfId="2166"/>
    <cellStyle name="Comma 5 7 2 3 3" xfId="2167"/>
    <cellStyle name="Comma 5 7 2 4" xfId="2168"/>
    <cellStyle name="Comma 5 7 2 4 2" xfId="2169"/>
    <cellStyle name="Comma 5 7 2 5" xfId="2170"/>
    <cellStyle name="Comma 5 7 3" xfId="2171"/>
    <cellStyle name="Comma 5 7 3 2" xfId="2172"/>
    <cellStyle name="Comma 5 7 3 2 2" xfId="2173"/>
    <cellStyle name="Comma 5 7 3 2 2 2" xfId="2174"/>
    <cellStyle name="Comma 5 7 3 2 3" xfId="2175"/>
    <cellStyle name="Comma 5 7 3 3" xfId="2176"/>
    <cellStyle name="Comma 5 7 3 3 2" xfId="2177"/>
    <cellStyle name="Comma 5 7 3 3 2 2" xfId="2178"/>
    <cellStyle name="Comma 5 7 3 3 3" xfId="2179"/>
    <cellStyle name="Comma 5 7 3 4" xfId="2180"/>
    <cellStyle name="Comma 5 7 3 4 2" xfId="2181"/>
    <cellStyle name="Comma 5 7 3 5" xfId="2182"/>
    <cellStyle name="Comma 5 7 4" xfId="2183"/>
    <cellStyle name="Comma 5 7 4 2" xfId="2184"/>
    <cellStyle name="Comma 5 7 4 2 2" xfId="2185"/>
    <cellStyle name="Comma 5 7 4 2 2 2" xfId="2186"/>
    <cellStyle name="Comma 5 7 4 2 3" xfId="2187"/>
    <cellStyle name="Comma 5 7 4 3" xfId="2188"/>
    <cellStyle name="Comma 5 7 4 3 2" xfId="2189"/>
    <cellStyle name="Comma 5 7 4 3 2 2" xfId="2190"/>
    <cellStyle name="Comma 5 7 4 3 3" xfId="2191"/>
    <cellStyle name="Comma 5 7 4 4" xfId="2192"/>
    <cellStyle name="Comma 5 7 4 4 2" xfId="2193"/>
    <cellStyle name="Comma 5 7 4 5" xfId="2194"/>
    <cellStyle name="Comma 5 7 5" xfId="2195"/>
    <cellStyle name="Comma 5 7 5 2" xfId="2196"/>
    <cellStyle name="Comma 5 7 5 2 2" xfId="2197"/>
    <cellStyle name="Comma 5 7 5 3" xfId="2198"/>
    <cellStyle name="Comma 5 7 6" xfId="2199"/>
    <cellStyle name="Comma 5 7 6 2" xfId="2200"/>
    <cellStyle name="Comma 5 7 6 2 2" xfId="2201"/>
    <cellStyle name="Comma 5 7 6 3" xfId="2202"/>
    <cellStyle name="Comma 5 7 7" xfId="2203"/>
    <cellStyle name="Comma 5 7 8" xfId="2204"/>
    <cellStyle name="Comma 5 7 8 2" xfId="2205"/>
    <cellStyle name="Comma 5 7 8 2 2" xfId="2206"/>
    <cellStyle name="Comma 5 7 8 3" xfId="2207"/>
    <cellStyle name="Comma 5 8" xfId="2208"/>
    <cellStyle name="Comma 5 8 2" xfId="2209"/>
    <cellStyle name="Comma 5 8 2 2" xfId="2210"/>
    <cellStyle name="Comma 5 8 2 2 2" xfId="2211"/>
    <cellStyle name="Comma 5 8 2 3" xfId="2212"/>
    <cellStyle name="Comma 5 8 3" xfId="2213"/>
    <cellStyle name="Comma 5 8 3 2" xfId="2214"/>
    <cellStyle name="Comma 5 8 3 2 2" xfId="2215"/>
    <cellStyle name="Comma 5 8 3 3" xfId="2216"/>
    <cellStyle name="Comma 5 8 4" xfId="2217"/>
    <cellStyle name="Comma 5 8 4 2" xfId="2218"/>
    <cellStyle name="Comma 5 8 5" xfId="2219"/>
    <cellStyle name="Comma 5 9" xfId="2220"/>
    <cellStyle name="Comma 5 9 2" xfId="2221"/>
    <cellStyle name="Comma 5 9 2 2" xfId="2222"/>
    <cellStyle name="Comma 5 9 2 2 2" xfId="2223"/>
    <cellStyle name="Comma 5 9 2 3" xfId="2224"/>
    <cellStyle name="Comma 5 9 3" xfId="2225"/>
    <cellStyle name="Comma 5 9 3 2" xfId="2226"/>
    <cellStyle name="Comma 5 9 3 2 2" xfId="2227"/>
    <cellStyle name="Comma 5 9 3 3" xfId="2228"/>
    <cellStyle name="Comma 5 9 4" xfId="2229"/>
    <cellStyle name="Comma 5 9 4 2" xfId="2230"/>
    <cellStyle name="Comma 5 9 5" xfId="2231"/>
    <cellStyle name="Comma 50" xfId="18211"/>
    <cellStyle name="Comma 51" xfId="18212"/>
    <cellStyle name="Comma 52" xfId="18213"/>
    <cellStyle name="Comma 53" xfId="18214"/>
    <cellStyle name="Comma 54" xfId="18215"/>
    <cellStyle name="Comma 55" xfId="18216"/>
    <cellStyle name="Comma 56" xfId="18217"/>
    <cellStyle name="Comma 57" xfId="18218"/>
    <cellStyle name="Comma 58" xfId="18219"/>
    <cellStyle name="Comma 59" xfId="18220"/>
    <cellStyle name="Comma 6" xfId="2232"/>
    <cellStyle name="Comma 6 10" xfId="2233"/>
    <cellStyle name="Comma 6 10 2" xfId="2234"/>
    <cellStyle name="Comma 6 10 2 2" xfId="2235"/>
    <cellStyle name="Comma 6 10 2 2 2" xfId="2236"/>
    <cellStyle name="Comma 6 10 2 3" xfId="2237"/>
    <cellStyle name="Comma 6 10 3" xfId="2238"/>
    <cellStyle name="Comma 6 10 3 2" xfId="2239"/>
    <cellStyle name="Comma 6 10 3 2 2" xfId="2240"/>
    <cellStyle name="Comma 6 10 3 3" xfId="2241"/>
    <cellStyle name="Comma 6 10 4" xfId="2242"/>
    <cellStyle name="Comma 6 10 4 2" xfId="2243"/>
    <cellStyle name="Comma 6 10 5" xfId="2244"/>
    <cellStyle name="Comma 6 11" xfId="2245"/>
    <cellStyle name="Comma 6 12" xfId="2246"/>
    <cellStyle name="Comma 6 13" xfId="2247"/>
    <cellStyle name="Comma 6 13 2" xfId="2248"/>
    <cellStyle name="Comma 6 13 2 2" xfId="2249"/>
    <cellStyle name="Comma 6 13 3" xfId="2250"/>
    <cellStyle name="Comma 6 2" xfId="2251"/>
    <cellStyle name="Comma 6 2 2" xfId="2252"/>
    <cellStyle name="Comma 6 2 3" xfId="18221"/>
    <cellStyle name="Comma 6 3" xfId="2253"/>
    <cellStyle name="Comma 6 3 2" xfId="2254"/>
    <cellStyle name="Comma 6 3 3" xfId="2255"/>
    <cellStyle name="Comma 6 3 4" xfId="2256"/>
    <cellStyle name="Comma 6 4" xfId="2257"/>
    <cellStyle name="Comma 6 4 2" xfId="18222"/>
    <cellStyle name="Comma 6 5" xfId="2258"/>
    <cellStyle name="Comma 6 5 2" xfId="2259"/>
    <cellStyle name="Comma 6 5 2 2" xfId="2260"/>
    <cellStyle name="Comma 6 5 2 2 2" xfId="2261"/>
    <cellStyle name="Comma 6 5 2 2 2 2" xfId="2262"/>
    <cellStyle name="Comma 6 5 2 2 2 2 2" xfId="2263"/>
    <cellStyle name="Comma 6 5 2 2 2 3" xfId="2264"/>
    <cellStyle name="Comma 6 5 2 2 3" xfId="2265"/>
    <cellStyle name="Comma 6 5 2 2 3 2" xfId="2266"/>
    <cellStyle name="Comma 6 5 2 2 3 2 2" xfId="2267"/>
    <cellStyle name="Comma 6 5 2 2 3 3" xfId="2268"/>
    <cellStyle name="Comma 6 5 2 2 4" xfId="2269"/>
    <cellStyle name="Comma 6 5 2 2 4 2" xfId="2270"/>
    <cellStyle name="Comma 6 5 2 2 5" xfId="2271"/>
    <cellStyle name="Comma 6 5 2 3" xfId="2272"/>
    <cellStyle name="Comma 6 5 2 3 2" xfId="2273"/>
    <cellStyle name="Comma 6 5 2 3 2 2" xfId="2274"/>
    <cellStyle name="Comma 6 5 2 3 2 2 2" xfId="2275"/>
    <cellStyle name="Comma 6 5 2 3 2 3" xfId="2276"/>
    <cellStyle name="Comma 6 5 2 3 3" xfId="2277"/>
    <cellStyle name="Comma 6 5 2 3 3 2" xfId="2278"/>
    <cellStyle name="Comma 6 5 2 3 3 2 2" xfId="2279"/>
    <cellStyle name="Comma 6 5 2 3 3 3" xfId="2280"/>
    <cellStyle name="Comma 6 5 2 3 4" xfId="2281"/>
    <cellStyle name="Comma 6 5 2 3 4 2" xfId="2282"/>
    <cellStyle name="Comma 6 5 2 3 5" xfId="2283"/>
    <cellStyle name="Comma 6 5 2 4" xfId="2284"/>
    <cellStyle name="Comma 6 5 2 4 2" xfId="2285"/>
    <cellStyle name="Comma 6 5 2 4 2 2" xfId="2286"/>
    <cellStyle name="Comma 6 5 2 4 2 2 2" xfId="2287"/>
    <cellStyle name="Comma 6 5 2 4 2 3" xfId="2288"/>
    <cellStyle name="Comma 6 5 2 4 3" xfId="2289"/>
    <cellStyle name="Comma 6 5 2 4 3 2" xfId="2290"/>
    <cellStyle name="Comma 6 5 2 4 3 2 2" xfId="2291"/>
    <cellStyle name="Comma 6 5 2 4 3 3" xfId="2292"/>
    <cellStyle name="Comma 6 5 2 4 4" xfId="2293"/>
    <cellStyle name="Comma 6 5 2 4 4 2" xfId="2294"/>
    <cellStyle name="Comma 6 5 2 4 5" xfId="2295"/>
    <cellStyle name="Comma 6 5 2 5" xfId="2296"/>
    <cellStyle name="Comma 6 5 2 5 2" xfId="2297"/>
    <cellStyle name="Comma 6 5 2 5 2 2" xfId="2298"/>
    <cellStyle name="Comma 6 5 2 5 3" xfId="2299"/>
    <cellStyle name="Comma 6 5 2 6" xfId="2300"/>
    <cellStyle name="Comma 6 5 2 6 2" xfId="2301"/>
    <cellStyle name="Comma 6 5 2 6 2 2" xfId="2302"/>
    <cellStyle name="Comma 6 5 2 6 3" xfId="2303"/>
    <cellStyle name="Comma 6 5 2 7" xfId="2304"/>
    <cellStyle name="Comma 6 5 2 8" xfId="2305"/>
    <cellStyle name="Comma 6 5 2 8 2" xfId="2306"/>
    <cellStyle name="Comma 6 5 2 8 2 2" xfId="2307"/>
    <cellStyle name="Comma 6 5 2 8 3" xfId="2308"/>
    <cellStyle name="Comma 6 5 3" xfId="2309"/>
    <cellStyle name="Comma 6 5 3 2" xfId="2310"/>
    <cellStyle name="Comma 6 5 3 2 2" xfId="2311"/>
    <cellStyle name="Comma 6 5 3 2 2 2" xfId="2312"/>
    <cellStyle name="Comma 6 5 3 2 3" xfId="2313"/>
    <cellStyle name="Comma 6 5 3 3" xfId="2314"/>
    <cellStyle name="Comma 6 5 3 3 2" xfId="2315"/>
    <cellStyle name="Comma 6 5 3 3 2 2" xfId="2316"/>
    <cellStyle name="Comma 6 5 3 3 3" xfId="2317"/>
    <cellStyle name="Comma 6 5 3 4" xfId="2318"/>
    <cellStyle name="Comma 6 5 3 4 2" xfId="2319"/>
    <cellStyle name="Comma 6 5 3 5" xfId="2320"/>
    <cellStyle name="Comma 6 5 4" xfId="2321"/>
    <cellStyle name="Comma 6 5 4 2" xfId="2322"/>
    <cellStyle name="Comma 6 5 4 2 2" xfId="2323"/>
    <cellStyle name="Comma 6 5 4 2 2 2" xfId="2324"/>
    <cellStyle name="Comma 6 5 4 2 3" xfId="2325"/>
    <cellStyle name="Comma 6 5 4 3" xfId="2326"/>
    <cellStyle name="Comma 6 5 4 3 2" xfId="2327"/>
    <cellStyle name="Comma 6 5 4 3 2 2" xfId="2328"/>
    <cellStyle name="Comma 6 5 4 3 3" xfId="2329"/>
    <cellStyle name="Comma 6 5 4 4" xfId="2330"/>
    <cellStyle name="Comma 6 5 4 4 2" xfId="2331"/>
    <cellStyle name="Comma 6 5 4 5" xfId="2332"/>
    <cellStyle name="Comma 6 5 5" xfId="2333"/>
    <cellStyle name="Comma 6 5 5 2" xfId="2334"/>
    <cellStyle name="Comma 6 5 5 2 2" xfId="2335"/>
    <cellStyle name="Comma 6 5 5 2 2 2" xfId="2336"/>
    <cellStyle name="Comma 6 5 5 2 3" xfId="2337"/>
    <cellStyle name="Comma 6 5 5 3" xfId="2338"/>
    <cellStyle name="Comma 6 5 5 3 2" xfId="2339"/>
    <cellStyle name="Comma 6 5 5 3 2 2" xfId="2340"/>
    <cellStyle name="Comma 6 5 5 3 3" xfId="2341"/>
    <cellStyle name="Comma 6 5 5 4" xfId="2342"/>
    <cellStyle name="Comma 6 5 5 4 2" xfId="2343"/>
    <cellStyle name="Comma 6 5 5 5" xfId="2344"/>
    <cellStyle name="Comma 6 5 6" xfId="2345"/>
    <cellStyle name="Comma 6 5 6 2" xfId="2346"/>
    <cellStyle name="Comma 6 5 6 2 2" xfId="2347"/>
    <cellStyle name="Comma 6 5 6 3" xfId="2348"/>
    <cellStyle name="Comma 6 5 7" xfId="2349"/>
    <cellStyle name="Comma 6 5 7 2" xfId="2350"/>
    <cellStyle name="Comma 6 5 7 2 2" xfId="2351"/>
    <cellStyle name="Comma 6 5 7 3" xfId="2352"/>
    <cellStyle name="Comma 6 5 8" xfId="2353"/>
    <cellStyle name="Comma 6 5 9" xfId="2354"/>
    <cellStyle name="Comma 6 5 9 2" xfId="2355"/>
    <cellStyle name="Comma 6 5 9 2 2" xfId="2356"/>
    <cellStyle name="Comma 6 5 9 3" xfId="2357"/>
    <cellStyle name="Comma 6 6" xfId="2358"/>
    <cellStyle name="Comma 6 6 2" xfId="2359"/>
    <cellStyle name="Comma 6 6 2 2" xfId="2360"/>
    <cellStyle name="Comma 6 6 2 2 2" xfId="2361"/>
    <cellStyle name="Comma 6 6 2 2 2 2" xfId="2362"/>
    <cellStyle name="Comma 6 6 2 2 2 2 2" xfId="2363"/>
    <cellStyle name="Comma 6 6 2 2 2 3" xfId="2364"/>
    <cellStyle name="Comma 6 6 2 2 3" xfId="2365"/>
    <cellStyle name="Comma 6 6 2 2 3 2" xfId="2366"/>
    <cellStyle name="Comma 6 6 2 2 3 2 2" xfId="2367"/>
    <cellStyle name="Comma 6 6 2 2 3 3" xfId="2368"/>
    <cellStyle name="Comma 6 6 2 2 4" xfId="2369"/>
    <cellStyle name="Comma 6 6 2 2 4 2" xfId="2370"/>
    <cellStyle name="Comma 6 6 2 2 5" xfId="2371"/>
    <cellStyle name="Comma 6 6 2 3" xfId="2372"/>
    <cellStyle name="Comma 6 6 2 3 2" xfId="2373"/>
    <cellStyle name="Comma 6 6 2 3 2 2" xfId="2374"/>
    <cellStyle name="Comma 6 6 2 3 2 2 2" xfId="2375"/>
    <cellStyle name="Comma 6 6 2 3 2 3" xfId="2376"/>
    <cellStyle name="Comma 6 6 2 3 3" xfId="2377"/>
    <cellStyle name="Comma 6 6 2 3 3 2" xfId="2378"/>
    <cellStyle name="Comma 6 6 2 3 3 2 2" xfId="2379"/>
    <cellStyle name="Comma 6 6 2 3 3 3" xfId="2380"/>
    <cellStyle name="Comma 6 6 2 3 4" xfId="2381"/>
    <cellStyle name="Comma 6 6 2 3 4 2" xfId="2382"/>
    <cellStyle name="Comma 6 6 2 3 5" xfId="2383"/>
    <cellStyle name="Comma 6 6 2 4" xfId="2384"/>
    <cellStyle name="Comma 6 6 2 4 2" xfId="2385"/>
    <cellStyle name="Comma 6 6 2 4 2 2" xfId="2386"/>
    <cellStyle name="Comma 6 6 2 4 2 2 2" xfId="2387"/>
    <cellStyle name="Comma 6 6 2 4 2 3" xfId="2388"/>
    <cellStyle name="Comma 6 6 2 4 3" xfId="2389"/>
    <cellStyle name="Comma 6 6 2 4 3 2" xfId="2390"/>
    <cellStyle name="Comma 6 6 2 4 3 2 2" xfId="2391"/>
    <cellStyle name="Comma 6 6 2 4 3 3" xfId="2392"/>
    <cellStyle name="Comma 6 6 2 4 4" xfId="2393"/>
    <cellStyle name="Comma 6 6 2 4 4 2" xfId="2394"/>
    <cellStyle name="Comma 6 6 2 4 5" xfId="2395"/>
    <cellStyle name="Comma 6 6 2 5" xfId="2396"/>
    <cellStyle name="Comma 6 6 2 5 2" xfId="2397"/>
    <cellStyle name="Comma 6 6 2 5 2 2" xfId="2398"/>
    <cellStyle name="Comma 6 6 2 5 3" xfId="2399"/>
    <cellStyle name="Comma 6 6 2 6" xfId="2400"/>
    <cellStyle name="Comma 6 6 2 6 2" xfId="2401"/>
    <cellStyle name="Comma 6 6 2 6 2 2" xfId="2402"/>
    <cellStyle name="Comma 6 6 2 6 3" xfId="2403"/>
    <cellStyle name="Comma 6 6 2 7" xfId="2404"/>
    <cellStyle name="Comma 6 6 2 8" xfId="2405"/>
    <cellStyle name="Comma 6 6 2 8 2" xfId="2406"/>
    <cellStyle name="Comma 6 6 2 8 2 2" xfId="2407"/>
    <cellStyle name="Comma 6 6 2 8 3" xfId="2408"/>
    <cellStyle name="Comma 6 6 3" xfId="2409"/>
    <cellStyle name="Comma 6 6 3 2" xfId="2410"/>
    <cellStyle name="Comma 6 6 3 2 2" xfId="2411"/>
    <cellStyle name="Comma 6 6 3 2 2 2" xfId="2412"/>
    <cellStyle name="Comma 6 6 3 2 3" xfId="2413"/>
    <cellStyle name="Comma 6 6 3 3" xfId="2414"/>
    <cellStyle name="Comma 6 6 3 3 2" xfId="2415"/>
    <cellStyle name="Comma 6 6 3 3 2 2" xfId="2416"/>
    <cellStyle name="Comma 6 6 3 3 3" xfId="2417"/>
    <cellStyle name="Comma 6 6 3 4" xfId="2418"/>
    <cellStyle name="Comma 6 6 3 4 2" xfId="2419"/>
    <cellStyle name="Comma 6 6 3 5" xfId="2420"/>
    <cellStyle name="Comma 6 6 4" xfId="2421"/>
    <cellStyle name="Comma 6 6 4 2" xfId="2422"/>
    <cellStyle name="Comma 6 6 4 2 2" xfId="2423"/>
    <cellStyle name="Comma 6 6 4 2 2 2" xfId="2424"/>
    <cellStyle name="Comma 6 6 4 2 3" xfId="2425"/>
    <cellStyle name="Comma 6 6 4 3" xfId="2426"/>
    <cellStyle name="Comma 6 6 4 3 2" xfId="2427"/>
    <cellStyle name="Comma 6 6 4 3 2 2" xfId="2428"/>
    <cellStyle name="Comma 6 6 4 3 3" xfId="2429"/>
    <cellStyle name="Comma 6 6 4 4" xfId="2430"/>
    <cellStyle name="Comma 6 6 4 4 2" xfId="2431"/>
    <cellStyle name="Comma 6 6 4 5" xfId="2432"/>
    <cellStyle name="Comma 6 6 5" xfId="2433"/>
    <cellStyle name="Comma 6 6 5 2" xfId="2434"/>
    <cellStyle name="Comma 6 6 5 2 2" xfId="2435"/>
    <cellStyle name="Comma 6 6 5 2 2 2" xfId="2436"/>
    <cellStyle name="Comma 6 6 5 2 3" xfId="2437"/>
    <cellStyle name="Comma 6 6 5 3" xfId="2438"/>
    <cellStyle name="Comma 6 6 5 3 2" xfId="2439"/>
    <cellStyle name="Comma 6 6 5 3 2 2" xfId="2440"/>
    <cellStyle name="Comma 6 6 5 3 3" xfId="2441"/>
    <cellStyle name="Comma 6 6 5 4" xfId="2442"/>
    <cellStyle name="Comma 6 6 5 4 2" xfId="2443"/>
    <cellStyle name="Comma 6 6 5 5" xfId="2444"/>
    <cellStyle name="Comma 6 6 6" xfId="2445"/>
    <cellStyle name="Comma 6 6 6 2" xfId="2446"/>
    <cellStyle name="Comma 6 6 6 2 2" xfId="2447"/>
    <cellStyle name="Comma 6 6 6 3" xfId="2448"/>
    <cellStyle name="Comma 6 6 7" xfId="2449"/>
    <cellStyle name="Comma 6 6 7 2" xfId="2450"/>
    <cellStyle name="Comma 6 6 7 2 2" xfId="2451"/>
    <cellStyle name="Comma 6 6 7 3" xfId="2452"/>
    <cellStyle name="Comma 6 6 8" xfId="2453"/>
    <cellStyle name="Comma 6 6 9" xfId="2454"/>
    <cellStyle name="Comma 6 6 9 2" xfId="2455"/>
    <cellStyle name="Comma 6 6 9 2 2" xfId="2456"/>
    <cellStyle name="Comma 6 6 9 3" xfId="2457"/>
    <cellStyle name="Comma 6 7" xfId="2458"/>
    <cellStyle name="Comma 6 7 2" xfId="2459"/>
    <cellStyle name="Comma 6 7 2 2" xfId="2460"/>
    <cellStyle name="Comma 6 7 2 2 2" xfId="2461"/>
    <cellStyle name="Comma 6 7 2 2 2 2" xfId="2462"/>
    <cellStyle name="Comma 6 7 2 2 3" xfId="2463"/>
    <cellStyle name="Comma 6 7 2 3" xfId="2464"/>
    <cellStyle name="Comma 6 7 2 3 2" xfId="2465"/>
    <cellStyle name="Comma 6 7 2 3 2 2" xfId="2466"/>
    <cellStyle name="Comma 6 7 2 3 3" xfId="2467"/>
    <cellStyle name="Comma 6 7 2 4" xfId="2468"/>
    <cellStyle name="Comma 6 7 2 4 2" xfId="2469"/>
    <cellStyle name="Comma 6 7 2 5" xfId="2470"/>
    <cellStyle name="Comma 6 7 3" xfId="2471"/>
    <cellStyle name="Comma 6 7 3 2" xfId="2472"/>
    <cellStyle name="Comma 6 7 3 2 2" xfId="2473"/>
    <cellStyle name="Comma 6 7 3 2 2 2" xfId="2474"/>
    <cellStyle name="Comma 6 7 3 2 3" xfId="2475"/>
    <cellStyle name="Comma 6 7 3 3" xfId="2476"/>
    <cellStyle name="Comma 6 7 3 3 2" xfId="2477"/>
    <cellStyle name="Comma 6 7 3 3 2 2" xfId="2478"/>
    <cellStyle name="Comma 6 7 3 3 3" xfId="2479"/>
    <cellStyle name="Comma 6 7 3 4" xfId="2480"/>
    <cellStyle name="Comma 6 7 3 4 2" xfId="2481"/>
    <cellStyle name="Comma 6 7 3 5" xfId="2482"/>
    <cellStyle name="Comma 6 7 4" xfId="2483"/>
    <cellStyle name="Comma 6 7 4 2" xfId="2484"/>
    <cellStyle name="Comma 6 7 4 2 2" xfId="2485"/>
    <cellStyle name="Comma 6 7 4 2 2 2" xfId="2486"/>
    <cellStyle name="Comma 6 7 4 2 3" xfId="2487"/>
    <cellStyle name="Comma 6 7 4 3" xfId="2488"/>
    <cellStyle name="Comma 6 7 4 3 2" xfId="2489"/>
    <cellStyle name="Comma 6 7 4 3 2 2" xfId="2490"/>
    <cellStyle name="Comma 6 7 4 3 3" xfId="2491"/>
    <cellStyle name="Comma 6 7 4 4" xfId="2492"/>
    <cellStyle name="Comma 6 7 4 4 2" xfId="2493"/>
    <cellStyle name="Comma 6 7 4 5" xfId="2494"/>
    <cellStyle name="Comma 6 7 5" xfId="2495"/>
    <cellStyle name="Comma 6 7 5 2" xfId="2496"/>
    <cellStyle name="Comma 6 7 5 2 2" xfId="2497"/>
    <cellStyle name="Comma 6 7 5 3" xfId="2498"/>
    <cellStyle name="Comma 6 7 6" xfId="2499"/>
    <cellStyle name="Comma 6 7 6 2" xfId="2500"/>
    <cellStyle name="Comma 6 7 6 2 2" xfId="2501"/>
    <cellStyle name="Comma 6 7 6 3" xfId="2502"/>
    <cellStyle name="Comma 6 7 7" xfId="2503"/>
    <cellStyle name="Comma 6 7 8" xfId="2504"/>
    <cellStyle name="Comma 6 7 8 2" xfId="2505"/>
    <cellStyle name="Comma 6 7 8 2 2" xfId="2506"/>
    <cellStyle name="Comma 6 7 8 3" xfId="2507"/>
    <cellStyle name="Comma 6 8" xfId="2508"/>
    <cellStyle name="Comma 6 8 2" xfId="2509"/>
    <cellStyle name="Comma 6 8 2 2" xfId="2510"/>
    <cellStyle name="Comma 6 8 2 2 2" xfId="2511"/>
    <cellStyle name="Comma 6 8 2 3" xfId="2512"/>
    <cellStyle name="Comma 6 8 3" xfId="2513"/>
    <cellStyle name="Comma 6 8 3 2" xfId="2514"/>
    <cellStyle name="Comma 6 8 3 2 2" xfId="2515"/>
    <cellStyle name="Comma 6 8 3 3" xfId="2516"/>
    <cellStyle name="Comma 6 8 4" xfId="2517"/>
    <cellStyle name="Comma 6 8 4 2" xfId="2518"/>
    <cellStyle name="Comma 6 8 5" xfId="2519"/>
    <cellStyle name="Comma 6 9" xfId="2520"/>
    <cellStyle name="Comma 6 9 2" xfId="2521"/>
    <cellStyle name="Comma 6 9 2 2" xfId="2522"/>
    <cellStyle name="Comma 6 9 2 2 2" xfId="2523"/>
    <cellStyle name="Comma 6 9 2 3" xfId="2524"/>
    <cellStyle name="Comma 6 9 3" xfId="2525"/>
    <cellStyle name="Comma 6 9 3 2" xfId="2526"/>
    <cellStyle name="Comma 6 9 3 2 2" xfId="2527"/>
    <cellStyle name="Comma 6 9 3 3" xfId="2528"/>
    <cellStyle name="Comma 6 9 4" xfId="2529"/>
    <cellStyle name="Comma 6 9 4 2" xfId="2530"/>
    <cellStyle name="Comma 6 9 5" xfId="2531"/>
    <cellStyle name="Comma 60" xfId="18223"/>
    <cellStyle name="Comma 61" xfId="18224"/>
    <cellStyle name="Comma 62" xfId="18225"/>
    <cellStyle name="Comma 63" xfId="18226"/>
    <cellStyle name="Comma 64" xfId="2532"/>
    <cellStyle name="Comma 64 2" xfId="2533"/>
    <cellStyle name="Comma 64 3" xfId="2534"/>
    <cellStyle name="Comma 65" xfId="2535"/>
    <cellStyle name="Comma 66" xfId="18227"/>
    <cellStyle name="Comma 67" xfId="18228"/>
    <cellStyle name="Comma 68" xfId="18229"/>
    <cellStyle name="Comma 69" xfId="18230"/>
    <cellStyle name="Comma 7" xfId="2536"/>
    <cellStyle name="Comma 7 10" xfId="2537"/>
    <cellStyle name="Comma 7 10 2" xfId="2538"/>
    <cellStyle name="Comma 7 10 2 2" xfId="2539"/>
    <cellStyle name="Comma 7 10 3" xfId="2540"/>
    <cellStyle name="Comma 7 2" xfId="2541"/>
    <cellStyle name="Comma 7 2 2" xfId="2542"/>
    <cellStyle name="Comma 7 2 2 2" xfId="2543"/>
    <cellStyle name="Comma 7 2 2 2 2" xfId="2544"/>
    <cellStyle name="Comma 7 2 2 2 2 2" xfId="2545"/>
    <cellStyle name="Comma 7 2 2 2 2 2 2" xfId="2546"/>
    <cellStyle name="Comma 7 2 2 2 2 3" xfId="2547"/>
    <cellStyle name="Comma 7 2 2 2 3" xfId="2548"/>
    <cellStyle name="Comma 7 2 2 2 3 2" xfId="2549"/>
    <cellStyle name="Comma 7 2 2 2 3 2 2" xfId="2550"/>
    <cellStyle name="Comma 7 2 2 2 3 3" xfId="2551"/>
    <cellStyle name="Comma 7 2 2 2 4" xfId="2552"/>
    <cellStyle name="Comma 7 2 2 2 4 2" xfId="2553"/>
    <cellStyle name="Comma 7 2 2 2 5" xfId="2554"/>
    <cellStyle name="Comma 7 2 2 3" xfId="2555"/>
    <cellStyle name="Comma 7 2 2 3 2" xfId="2556"/>
    <cellStyle name="Comma 7 2 2 3 2 2" xfId="2557"/>
    <cellStyle name="Comma 7 2 2 3 2 2 2" xfId="2558"/>
    <cellStyle name="Comma 7 2 2 3 2 3" xfId="2559"/>
    <cellStyle name="Comma 7 2 2 3 3" xfId="2560"/>
    <cellStyle name="Comma 7 2 2 3 3 2" xfId="2561"/>
    <cellStyle name="Comma 7 2 2 3 3 2 2" xfId="2562"/>
    <cellStyle name="Comma 7 2 2 3 3 3" xfId="2563"/>
    <cellStyle name="Comma 7 2 2 3 4" xfId="2564"/>
    <cellStyle name="Comma 7 2 2 3 4 2" xfId="2565"/>
    <cellStyle name="Comma 7 2 2 3 5" xfId="2566"/>
    <cellStyle name="Comma 7 2 2 4" xfId="2567"/>
    <cellStyle name="Comma 7 2 2 4 2" xfId="2568"/>
    <cellStyle name="Comma 7 2 2 4 2 2" xfId="2569"/>
    <cellStyle name="Comma 7 2 2 4 2 2 2" xfId="2570"/>
    <cellStyle name="Comma 7 2 2 4 2 3" xfId="2571"/>
    <cellStyle name="Comma 7 2 2 4 3" xfId="2572"/>
    <cellStyle name="Comma 7 2 2 4 3 2" xfId="2573"/>
    <cellStyle name="Comma 7 2 2 4 3 2 2" xfId="2574"/>
    <cellStyle name="Comma 7 2 2 4 3 3" xfId="2575"/>
    <cellStyle name="Comma 7 2 2 4 4" xfId="2576"/>
    <cellStyle name="Comma 7 2 2 4 4 2" xfId="2577"/>
    <cellStyle name="Comma 7 2 2 4 5" xfId="2578"/>
    <cellStyle name="Comma 7 2 2 5" xfId="2579"/>
    <cellStyle name="Comma 7 2 2 5 2" xfId="2580"/>
    <cellStyle name="Comma 7 2 2 5 2 2" xfId="2581"/>
    <cellStyle name="Comma 7 2 2 5 3" xfId="2582"/>
    <cellStyle name="Comma 7 2 2 6" xfId="2583"/>
    <cellStyle name="Comma 7 2 2 6 2" xfId="2584"/>
    <cellStyle name="Comma 7 2 2 6 2 2" xfId="2585"/>
    <cellStyle name="Comma 7 2 2 6 3" xfId="2586"/>
    <cellStyle name="Comma 7 2 2 7" xfId="2587"/>
    <cellStyle name="Comma 7 2 2 8" xfId="2588"/>
    <cellStyle name="Comma 7 2 2 8 2" xfId="2589"/>
    <cellStyle name="Comma 7 2 2 8 2 2" xfId="2590"/>
    <cellStyle name="Comma 7 2 2 8 3" xfId="2591"/>
    <cellStyle name="Comma 7 2 3" xfId="2592"/>
    <cellStyle name="Comma 7 2 3 2" xfId="2593"/>
    <cellStyle name="Comma 7 2 3 2 2" xfId="2594"/>
    <cellStyle name="Comma 7 2 3 2 2 2" xfId="2595"/>
    <cellStyle name="Comma 7 2 3 2 3" xfId="2596"/>
    <cellStyle name="Comma 7 2 3 3" xfId="2597"/>
    <cellStyle name="Comma 7 2 3 3 2" xfId="2598"/>
    <cellStyle name="Comma 7 2 3 3 2 2" xfId="2599"/>
    <cellStyle name="Comma 7 2 3 3 3" xfId="2600"/>
    <cellStyle name="Comma 7 2 3 4" xfId="2601"/>
    <cellStyle name="Comma 7 2 3 4 2" xfId="2602"/>
    <cellStyle name="Comma 7 2 3 5" xfId="2603"/>
    <cellStyle name="Comma 7 2 4" xfId="2604"/>
    <cellStyle name="Comma 7 2 4 2" xfId="2605"/>
    <cellStyle name="Comma 7 2 4 2 2" xfId="2606"/>
    <cellStyle name="Comma 7 2 4 2 2 2" xfId="2607"/>
    <cellStyle name="Comma 7 2 4 2 3" xfId="2608"/>
    <cellStyle name="Comma 7 2 4 3" xfId="2609"/>
    <cellStyle name="Comma 7 2 4 3 2" xfId="2610"/>
    <cellStyle name="Comma 7 2 4 3 2 2" xfId="2611"/>
    <cellStyle name="Comma 7 2 4 3 3" xfId="2612"/>
    <cellStyle name="Comma 7 2 4 4" xfId="2613"/>
    <cellStyle name="Comma 7 2 4 4 2" xfId="2614"/>
    <cellStyle name="Comma 7 2 4 5" xfId="2615"/>
    <cellStyle name="Comma 7 2 5" xfId="2616"/>
    <cellStyle name="Comma 7 2 5 2" xfId="2617"/>
    <cellStyle name="Comma 7 2 5 2 2" xfId="2618"/>
    <cellStyle name="Comma 7 2 5 2 2 2" xfId="2619"/>
    <cellStyle name="Comma 7 2 5 2 3" xfId="2620"/>
    <cellStyle name="Comma 7 2 5 3" xfId="2621"/>
    <cellStyle name="Comma 7 2 5 3 2" xfId="2622"/>
    <cellStyle name="Comma 7 2 5 3 2 2" xfId="2623"/>
    <cellStyle name="Comma 7 2 5 3 3" xfId="2624"/>
    <cellStyle name="Comma 7 2 5 4" xfId="2625"/>
    <cellStyle name="Comma 7 2 5 4 2" xfId="2626"/>
    <cellStyle name="Comma 7 2 5 5" xfId="2627"/>
    <cellStyle name="Comma 7 2 6" xfId="2628"/>
    <cellStyle name="Comma 7 2 6 2" xfId="2629"/>
    <cellStyle name="Comma 7 2 6 2 2" xfId="2630"/>
    <cellStyle name="Comma 7 2 6 3" xfId="2631"/>
    <cellStyle name="Comma 7 2 7" xfId="2632"/>
    <cellStyle name="Comma 7 2 7 2" xfId="2633"/>
    <cellStyle name="Comma 7 2 7 2 2" xfId="2634"/>
    <cellStyle name="Comma 7 2 7 3" xfId="2635"/>
    <cellStyle name="Comma 7 2 8" xfId="2636"/>
    <cellStyle name="Comma 7 2 9" xfId="2637"/>
    <cellStyle name="Comma 7 2 9 2" xfId="2638"/>
    <cellStyle name="Comma 7 2 9 2 2" xfId="2639"/>
    <cellStyle name="Comma 7 2 9 3" xfId="2640"/>
    <cellStyle name="Comma 7 3" xfId="2641"/>
    <cellStyle name="Comma 7 3 2" xfId="2642"/>
    <cellStyle name="Comma 7 3 2 2" xfId="2643"/>
    <cellStyle name="Comma 7 3 2 2 2" xfId="2644"/>
    <cellStyle name="Comma 7 3 2 2 2 2" xfId="2645"/>
    <cellStyle name="Comma 7 3 2 2 2 2 2" xfId="2646"/>
    <cellStyle name="Comma 7 3 2 2 2 3" xfId="2647"/>
    <cellStyle name="Comma 7 3 2 2 3" xfId="2648"/>
    <cellStyle name="Comma 7 3 2 2 3 2" xfId="2649"/>
    <cellStyle name="Comma 7 3 2 2 3 2 2" xfId="2650"/>
    <cellStyle name="Comma 7 3 2 2 3 3" xfId="2651"/>
    <cellStyle name="Comma 7 3 2 2 4" xfId="2652"/>
    <cellStyle name="Comma 7 3 2 2 4 2" xfId="2653"/>
    <cellStyle name="Comma 7 3 2 2 5" xfId="2654"/>
    <cellStyle name="Comma 7 3 2 3" xfId="2655"/>
    <cellStyle name="Comma 7 3 2 3 2" xfId="2656"/>
    <cellStyle name="Comma 7 3 2 3 2 2" xfId="2657"/>
    <cellStyle name="Comma 7 3 2 3 2 2 2" xfId="2658"/>
    <cellStyle name="Comma 7 3 2 3 2 3" xfId="2659"/>
    <cellStyle name="Comma 7 3 2 3 3" xfId="2660"/>
    <cellStyle name="Comma 7 3 2 3 3 2" xfId="2661"/>
    <cellStyle name="Comma 7 3 2 3 3 2 2" xfId="2662"/>
    <cellStyle name="Comma 7 3 2 3 3 3" xfId="2663"/>
    <cellStyle name="Comma 7 3 2 3 4" xfId="2664"/>
    <cellStyle name="Comma 7 3 2 3 4 2" xfId="2665"/>
    <cellStyle name="Comma 7 3 2 3 5" xfId="2666"/>
    <cellStyle name="Comma 7 3 2 4" xfId="2667"/>
    <cellStyle name="Comma 7 3 2 4 2" xfId="2668"/>
    <cellStyle name="Comma 7 3 2 4 2 2" xfId="2669"/>
    <cellStyle name="Comma 7 3 2 4 2 2 2" xfId="2670"/>
    <cellStyle name="Comma 7 3 2 4 2 3" xfId="2671"/>
    <cellStyle name="Comma 7 3 2 4 3" xfId="2672"/>
    <cellStyle name="Comma 7 3 2 4 3 2" xfId="2673"/>
    <cellStyle name="Comma 7 3 2 4 3 2 2" xfId="2674"/>
    <cellStyle name="Comma 7 3 2 4 3 3" xfId="2675"/>
    <cellStyle name="Comma 7 3 2 4 4" xfId="2676"/>
    <cellStyle name="Comma 7 3 2 4 4 2" xfId="2677"/>
    <cellStyle name="Comma 7 3 2 4 5" xfId="2678"/>
    <cellStyle name="Comma 7 3 2 5" xfId="2679"/>
    <cellStyle name="Comma 7 3 2 5 2" xfId="2680"/>
    <cellStyle name="Comma 7 3 2 5 2 2" xfId="2681"/>
    <cellStyle name="Comma 7 3 2 5 3" xfId="2682"/>
    <cellStyle name="Comma 7 3 2 6" xfId="2683"/>
    <cellStyle name="Comma 7 3 2 6 2" xfId="2684"/>
    <cellStyle name="Comma 7 3 2 6 2 2" xfId="2685"/>
    <cellStyle name="Comma 7 3 2 6 3" xfId="2686"/>
    <cellStyle name="Comma 7 3 2 7" xfId="2687"/>
    <cellStyle name="Comma 7 3 2 8" xfId="2688"/>
    <cellStyle name="Comma 7 3 2 8 2" xfId="2689"/>
    <cellStyle name="Comma 7 3 2 8 2 2" xfId="2690"/>
    <cellStyle name="Comma 7 3 2 8 3" xfId="2691"/>
    <cellStyle name="Comma 7 3 3" xfId="2692"/>
    <cellStyle name="Comma 7 3 3 2" xfId="2693"/>
    <cellStyle name="Comma 7 3 3 2 2" xfId="2694"/>
    <cellStyle name="Comma 7 3 3 2 2 2" xfId="2695"/>
    <cellStyle name="Comma 7 3 3 2 3" xfId="2696"/>
    <cellStyle name="Comma 7 3 3 3" xfId="2697"/>
    <cellStyle name="Comma 7 3 3 3 2" xfId="2698"/>
    <cellStyle name="Comma 7 3 3 3 2 2" xfId="2699"/>
    <cellStyle name="Comma 7 3 3 3 3" xfId="2700"/>
    <cellStyle name="Comma 7 3 3 4" xfId="2701"/>
    <cellStyle name="Comma 7 3 3 4 2" xfId="2702"/>
    <cellStyle name="Comma 7 3 3 5" xfId="2703"/>
    <cellStyle name="Comma 7 3 4" xfId="2704"/>
    <cellStyle name="Comma 7 3 4 2" xfId="2705"/>
    <cellStyle name="Comma 7 3 4 2 2" xfId="2706"/>
    <cellStyle name="Comma 7 3 4 2 2 2" xfId="2707"/>
    <cellStyle name="Comma 7 3 4 2 3" xfId="2708"/>
    <cellStyle name="Comma 7 3 4 3" xfId="2709"/>
    <cellStyle name="Comma 7 3 4 3 2" xfId="2710"/>
    <cellStyle name="Comma 7 3 4 3 2 2" xfId="2711"/>
    <cellStyle name="Comma 7 3 4 3 3" xfId="2712"/>
    <cellStyle name="Comma 7 3 4 4" xfId="2713"/>
    <cellStyle name="Comma 7 3 4 4 2" xfId="2714"/>
    <cellStyle name="Comma 7 3 4 5" xfId="2715"/>
    <cellStyle name="Comma 7 3 5" xfId="2716"/>
    <cellStyle name="Comma 7 3 5 2" xfId="2717"/>
    <cellStyle name="Comma 7 3 5 2 2" xfId="2718"/>
    <cellStyle name="Comma 7 3 5 2 2 2" xfId="2719"/>
    <cellStyle name="Comma 7 3 5 2 3" xfId="2720"/>
    <cellStyle name="Comma 7 3 5 3" xfId="2721"/>
    <cellStyle name="Comma 7 3 5 3 2" xfId="2722"/>
    <cellStyle name="Comma 7 3 5 3 2 2" xfId="2723"/>
    <cellStyle name="Comma 7 3 5 3 3" xfId="2724"/>
    <cellStyle name="Comma 7 3 5 4" xfId="2725"/>
    <cellStyle name="Comma 7 3 5 4 2" xfId="2726"/>
    <cellStyle name="Comma 7 3 5 5" xfId="2727"/>
    <cellStyle name="Comma 7 3 6" xfId="2728"/>
    <cellStyle name="Comma 7 3 6 2" xfId="2729"/>
    <cellStyle name="Comma 7 3 6 2 2" xfId="2730"/>
    <cellStyle name="Comma 7 3 6 3" xfId="2731"/>
    <cellStyle name="Comma 7 3 7" xfId="2732"/>
    <cellStyle name="Comma 7 3 7 2" xfId="2733"/>
    <cellStyle name="Comma 7 3 7 2 2" xfId="2734"/>
    <cellStyle name="Comma 7 3 7 3" xfId="2735"/>
    <cellStyle name="Comma 7 3 8" xfId="2736"/>
    <cellStyle name="Comma 7 3 9" xfId="2737"/>
    <cellStyle name="Comma 7 3 9 2" xfId="2738"/>
    <cellStyle name="Comma 7 3 9 2 2" xfId="2739"/>
    <cellStyle name="Comma 7 3 9 3" xfId="2740"/>
    <cellStyle name="Comma 7 4" xfId="2741"/>
    <cellStyle name="Comma 7 4 2" xfId="2742"/>
    <cellStyle name="Comma 7 4 2 2" xfId="2743"/>
    <cellStyle name="Comma 7 4 2 2 2" xfId="2744"/>
    <cellStyle name="Comma 7 4 2 2 2 2" xfId="2745"/>
    <cellStyle name="Comma 7 4 2 2 3" xfId="2746"/>
    <cellStyle name="Comma 7 4 2 3" xfId="2747"/>
    <cellStyle name="Comma 7 4 2 3 2" xfId="2748"/>
    <cellStyle name="Comma 7 4 2 3 2 2" xfId="2749"/>
    <cellStyle name="Comma 7 4 2 3 3" xfId="2750"/>
    <cellStyle name="Comma 7 4 2 4" xfId="2751"/>
    <cellStyle name="Comma 7 4 2 4 2" xfId="2752"/>
    <cellStyle name="Comma 7 4 2 5" xfId="2753"/>
    <cellStyle name="Comma 7 4 3" xfId="2754"/>
    <cellStyle name="Comma 7 4 3 2" xfId="2755"/>
    <cellStyle name="Comma 7 4 3 2 2" xfId="2756"/>
    <cellStyle name="Comma 7 4 3 2 2 2" xfId="2757"/>
    <cellStyle name="Comma 7 4 3 2 3" xfId="2758"/>
    <cellStyle name="Comma 7 4 3 3" xfId="2759"/>
    <cellStyle name="Comma 7 4 3 3 2" xfId="2760"/>
    <cellStyle name="Comma 7 4 3 3 2 2" xfId="2761"/>
    <cellStyle name="Comma 7 4 3 3 3" xfId="2762"/>
    <cellStyle name="Comma 7 4 3 4" xfId="2763"/>
    <cellStyle name="Comma 7 4 3 4 2" xfId="2764"/>
    <cellStyle name="Comma 7 4 3 5" xfId="2765"/>
    <cellStyle name="Comma 7 4 4" xfId="2766"/>
    <cellStyle name="Comma 7 4 4 2" xfId="2767"/>
    <cellStyle name="Comma 7 4 4 2 2" xfId="2768"/>
    <cellStyle name="Comma 7 4 4 2 2 2" xfId="2769"/>
    <cellStyle name="Comma 7 4 4 2 3" xfId="2770"/>
    <cellStyle name="Comma 7 4 4 3" xfId="2771"/>
    <cellStyle name="Comma 7 4 4 3 2" xfId="2772"/>
    <cellStyle name="Comma 7 4 4 3 2 2" xfId="2773"/>
    <cellStyle name="Comma 7 4 4 3 3" xfId="2774"/>
    <cellStyle name="Comma 7 4 4 4" xfId="2775"/>
    <cellStyle name="Comma 7 4 4 4 2" xfId="2776"/>
    <cellStyle name="Comma 7 4 4 5" xfId="2777"/>
    <cellStyle name="Comma 7 4 5" xfId="2778"/>
    <cellStyle name="Comma 7 4 5 2" xfId="2779"/>
    <cellStyle name="Comma 7 4 5 2 2" xfId="2780"/>
    <cellStyle name="Comma 7 4 5 3" xfId="2781"/>
    <cellStyle name="Comma 7 4 6" xfId="2782"/>
    <cellStyle name="Comma 7 4 6 2" xfId="2783"/>
    <cellStyle name="Comma 7 4 6 2 2" xfId="2784"/>
    <cellStyle name="Comma 7 4 6 3" xfId="2785"/>
    <cellStyle name="Comma 7 4 7" xfId="2786"/>
    <cellStyle name="Comma 7 4 8" xfId="2787"/>
    <cellStyle name="Comma 7 4 8 2" xfId="2788"/>
    <cellStyle name="Comma 7 4 8 2 2" xfId="2789"/>
    <cellStyle name="Comma 7 4 8 3" xfId="2790"/>
    <cellStyle name="Comma 7 5" xfId="2791"/>
    <cellStyle name="Comma 7 5 2" xfId="2792"/>
    <cellStyle name="Comma 7 5 2 2" xfId="2793"/>
    <cellStyle name="Comma 7 5 2 2 2" xfId="2794"/>
    <cellStyle name="Comma 7 5 2 3" xfId="2795"/>
    <cellStyle name="Comma 7 5 3" xfId="2796"/>
    <cellStyle name="Comma 7 5 3 2" xfId="2797"/>
    <cellStyle name="Comma 7 5 3 2 2" xfId="2798"/>
    <cellStyle name="Comma 7 5 3 3" xfId="2799"/>
    <cellStyle name="Comma 7 5 4" xfId="2800"/>
    <cellStyle name="Comma 7 5 4 2" xfId="2801"/>
    <cellStyle name="Comma 7 5 5" xfId="2802"/>
    <cellStyle name="Comma 7 6" xfId="2803"/>
    <cellStyle name="Comma 7 6 2" xfId="2804"/>
    <cellStyle name="Comma 7 6 2 2" xfId="2805"/>
    <cellStyle name="Comma 7 6 2 2 2" xfId="2806"/>
    <cellStyle name="Comma 7 6 2 3" xfId="2807"/>
    <cellStyle name="Comma 7 6 3" xfId="2808"/>
    <cellStyle name="Comma 7 6 3 2" xfId="2809"/>
    <cellStyle name="Comma 7 6 3 2 2" xfId="2810"/>
    <cellStyle name="Comma 7 6 3 3" xfId="2811"/>
    <cellStyle name="Comma 7 6 4" xfId="2812"/>
    <cellStyle name="Comma 7 6 4 2" xfId="2813"/>
    <cellStyle name="Comma 7 6 5" xfId="2814"/>
    <cellStyle name="Comma 7 7" xfId="2815"/>
    <cellStyle name="Comma 7 7 2" xfId="2816"/>
    <cellStyle name="Comma 7 7 2 2" xfId="2817"/>
    <cellStyle name="Comma 7 7 2 2 2" xfId="2818"/>
    <cellStyle name="Comma 7 7 2 3" xfId="2819"/>
    <cellStyle name="Comma 7 7 3" xfId="2820"/>
    <cellStyle name="Comma 7 7 3 2" xfId="2821"/>
    <cellStyle name="Comma 7 7 3 2 2" xfId="2822"/>
    <cellStyle name="Comma 7 7 3 3" xfId="2823"/>
    <cellStyle name="Comma 7 7 4" xfId="2824"/>
    <cellStyle name="Comma 7 7 4 2" xfId="2825"/>
    <cellStyle name="Comma 7 7 5" xfId="2826"/>
    <cellStyle name="Comma 7 8" xfId="2827"/>
    <cellStyle name="Comma 7 9" xfId="2828"/>
    <cellStyle name="Comma 70" xfId="18231"/>
    <cellStyle name="Comma 71" xfId="18232"/>
    <cellStyle name="Comma 72" xfId="18233"/>
    <cellStyle name="Comma 73" xfId="18234"/>
    <cellStyle name="Comma 74" xfId="18235"/>
    <cellStyle name="Comma 75" xfId="18236"/>
    <cellStyle name="Comma 76" xfId="18237"/>
    <cellStyle name="Comma 77" xfId="18238"/>
    <cellStyle name="Comma 78" xfId="18239"/>
    <cellStyle name="Comma 79" xfId="18240"/>
    <cellStyle name="Comma 8" xfId="2829"/>
    <cellStyle name="Comma 8 2" xfId="2830"/>
    <cellStyle name="Comma 8 2 2" xfId="2831"/>
    <cellStyle name="Comma 8 3" xfId="2832"/>
    <cellStyle name="Comma 8 3 2" xfId="2833"/>
    <cellStyle name="Comma 8 3 3" xfId="2834"/>
    <cellStyle name="Comma 8 3 4" xfId="2835"/>
    <cellStyle name="Comma 8 4" xfId="2836"/>
    <cellStyle name="Comma 8 4 2" xfId="18241"/>
    <cellStyle name="Comma 8 5" xfId="2837"/>
    <cellStyle name="Comma 80" xfId="18242"/>
    <cellStyle name="Comma 81" xfId="18243"/>
    <cellStyle name="Comma 82" xfId="18244"/>
    <cellStyle name="Comma 83" xfId="18245"/>
    <cellStyle name="Comma 84" xfId="18246"/>
    <cellStyle name="Comma 85" xfId="18247"/>
    <cellStyle name="Comma 86" xfId="18248"/>
    <cellStyle name="Comma 87" xfId="18249"/>
    <cellStyle name="Comma 88" xfId="18250"/>
    <cellStyle name="Comma 89" xfId="18251"/>
    <cellStyle name="Comma 9" xfId="2838"/>
    <cellStyle name="Comma 9 2" xfId="2839"/>
    <cellStyle name="Comma 9 2 2" xfId="2840"/>
    <cellStyle name="Comma 9 2 2 2" xfId="2841"/>
    <cellStyle name="Comma 9 2 2 2 2" xfId="2842"/>
    <cellStyle name="Comma 9 2 2 2 2 2" xfId="2843"/>
    <cellStyle name="Comma 9 2 2 2 3" xfId="2844"/>
    <cellStyle name="Comma 9 2 2 3" xfId="2845"/>
    <cellStyle name="Comma 9 2 2 3 2" xfId="2846"/>
    <cellStyle name="Comma 9 2 2 3 2 2" xfId="2847"/>
    <cellStyle name="Comma 9 2 2 3 3" xfId="2848"/>
    <cellStyle name="Comma 9 2 2 4" xfId="2849"/>
    <cellStyle name="Comma 9 2 2 4 2" xfId="2850"/>
    <cellStyle name="Comma 9 2 2 5" xfId="2851"/>
    <cellStyle name="Comma 9 2 3" xfId="2852"/>
    <cellStyle name="Comma 9 2 3 2" xfId="2853"/>
    <cellStyle name="Comma 9 2 3 2 2" xfId="2854"/>
    <cellStyle name="Comma 9 2 3 2 2 2" xfId="2855"/>
    <cellStyle name="Comma 9 2 3 2 3" xfId="2856"/>
    <cellStyle name="Comma 9 2 3 3" xfId="2857"/>
    <cellStyle name="Comma 9 2 3 3 2" xfId="2858"/>
    <cellStyle name="Comma 9 2 3 3 2 2" xfId="2859"/>
    <cellStyle name="Comma 9 2 3 3 3" xfId="2860"/>
    <cellStyle name="Comma 9 2 3 4" xfId="2861"/>
    <cellStyle name="Comma 9 2 3 4 2" xfId="2862"/>
    <cellStyle name="Comma 9 2 3 5" xfId="2863"/>
    <cellStyle name="Comma 9 2 4" xfId="2864"/>
    <cellStyle name="Comma 9 2 4 2" xfId="2865"/>
    <cellStyle name="Comma 9 2 4 2 2" xfId="2866"/>
    <cellStyle name="Comma 9 2 4 2 2 2" xfId="2867"/>
    <cellStyle name="Comma 9 2 4 2 3" xfId="2868"/>
    <cellStyle name="Comma 9 2 4 3" xfId="2869"/>
    <cellStyle name="Comma 9 2 4 3 2" xfId="2870"/>
    <cellStyle name="Comma 9 2 4 3 2 2" xfId="2871"/>
    <cellStyle name="Comma 9 2 4 3 3" xfId="2872"/>
    <cellStyle name="Comma 9 2 4 4" xfId="2873"/>
    <cellStyle name="Comma 9 2 4 4 2" xfId="2874"/>
    <cellStyle name="Comma 9 2 4 5" xfId="2875"/>
    <cellStyle name="Comma 9 2 5" xfId="2876"/>
    <cellStyle name="Comma 9 2 5 2" xfId="2877"/>
    <cellStyle name="Comma 9 2 5 2 2" xfId="2878"/>
    <cellStyle name="Comma 9 2 5 3" xfId="2879"/>
    <cellStyle name="Comma 9 2 6" xfId="2880"/>
    <cellStyle name="Comma 9 2 6 2" xfId="2881"/>
    <cellStyle name="Comma 9 2 6 2 2" xfId="2882"/>
    <cellStyle name="Comma 9 2 6 3" xfId="2883"/>
    <cellStyle name="Comma 9 2 7" xfId="2884"/>
    <cellStyle name="Comma 9 2 8" xfId="2885"/>
    <cellStyle name="Comma 9 2 8 2" xfId="2886"/>
    <cellStyle name="Comma 9 2 8 2 2" xfId="2887"/>
    <cellStyle name="Comma 9 2 8 3" xfId="2888"/>
    <cellStyle name="Comma 9 3" xfId="2889"/>
    <cellStyle name="Comma 9 3 2" xfId="2890"/>
    <cellStyle name="Comma 9 3 2 2" xfId="2891"/>
    <cellStyle name="Comma 9 3 2 2 2" xfId="2892"/>
    <cellStyle name="Comma 9 3 2 3" xfId="2893"/>
    <cellStyle name="Comma 9 3 3" xfId="2894"/>
    <cellStyle name="Comma 9 3 3 2" xfId="2895"/>
    <cellStyle name="Comma 9 3 3 2 2" xfId="2896"/>
    <cellStyle name="Comma 9 3 3 3" xfId="2897"/>
    <cellStyle name="Comma 9 3 4" xfId="2898"/>
    <cellStyle name="Comma 9 3 4 2" xfId="2899"/>
    <cellStyle name="Comma 9 3 5" xfId="2900"/>
    <cellStyle name="Comma 9 4" xfId="2901"/>
    <cellStyle name="Comma 9 4 2" xfId="2902"/>
    <cellStyle name="Comma 9 4 2 2" xfId="2903"/>
    <cellStyle name="Comma 9 4 2 2 2" xfId="2904"/>
    <cellStyle name="Comma 9 4 2 3" xfId="2905"/>
    <cellStyle name="Comma 9 4 3" xfId="2906"/>
    <cellStyle name="Comma 9 4 3 2" xfId="2907"/>
    <cellStyle name="Comma 9 4 3 2 2" xfId="2908"/>
    <cellStyle name="Comma 9 4 3 3" xfId="2909"/>
    <cellStyle name="Comma 9 4 4" xfId="2910"/>
    <cellStyle name="Comma 9 4 4 2" xfId="2911"/>
    <cellStyle name="Comma 9 4 5" xfId="2912"/>
    <cellStyle name="Comma 9 5" xfId="2913"/>
    <cellStyle name="Comma 9 5 2" xfId="2914"/>
    <cellStyle name="Comma 9 5 2 2" xfId="2915"/>
    <cellStyle name="Comma 9 5 2 2 2" xfId="2916"/>
    <cellStyle name="Comma 9 5 2 3" xfId="2917"/>
    <cellStyle name="Comma 9 5 3" xfId="2918"/>
    <cellStyle name="Comma 9 5 3 2" xfId="2919"/>
    <cellStyle name="Comma 9 5 3 2 2" xfId="2920"/>
    <cellStyle name="Comma 9 5 3 3" xfId="2921"/>
    <cellStyle name="Comma 9 5 4" xfId="2922"/>
    <cellStyle name="Comma 9 5 4 2" xfId="2923"/>
    <cellStyle name="Comma 9 5 5" xfId="2924"/>
    <cellStyle name="Comma 9 6" xfId="2925"/>
    <cellStyle name="Comma 9 7" xfId="2926"/>
    <cellStyle name="Comma 9 8" xfId="2927"/>
    <cellStyle name="Comma 9 8 2" xfId="2928"/>
    <cellStyle name="Comma 9 8 2 2" xfId="2929"/>
    <cellStyle name="Comma 9 8 3" xfId="2930"/>
    <cellStyle name="Comma 90" xfId="18252"/>
    <cellStyle name="Comma 91" xfId="18253"/>
    <cellStyle name="Comma 92" xfId="18254"/>
    <cellStyle name="Comma 93" xfId="18255"/>
    <cellStyle name="Comma 94" xfId="18256"/>
    <cellStyle name="Comma 95" xfId="18257"/>
    <cellStyle name="Comma 96" xfId="18258"/>
    <cellStyle name="Comma 97" xfId="18259"/>
    <cellStyle name="Comma 98" xfId="18260"/>
    <cellStyle name="Comma 99" xfId="18261"/>
    <cellStyle name="Comma0" xfId="18004"/>
    <cellStyle name="Comma1decimal.zero" xfId="18262"/>
    <cellStyle name="Cost Element" xfId="2931"/>
    <cellStyle name="Cost Element 2" xfId="2932"/>
    <cellStyle name="Cost Element 2 2" xfId="2933"/>
    <cellStyle name="Cost Element 3" xfId="2934"/>
    <cellStyle name="Cost Element 3 2" xfId="18263"/>
    <cellStyle name="Cost Element 4" xfId="18264"/>
    <cellStyle name="Currency" xfId="3" builtinId="4"/>
    <cellStyle name="Currency 12" xfId="2935"/>
    <cellStyle name="Currency 12 2" xfId="2936"/>
    <cellStyle name="Currency 12 3" xfId="2937"/>
    <cellStyle name="Currency 2" xfId="2938"/>
    <cellStyle name="Currency 2 2" xfId="2939"/>
    <cellStyle name="Currency 2 2 2" xfId="2940"/>
    <cellStyle name="Currency 2 2 3" xfId="18265"/>
    <cellStyle name="Currency 2 3" xfId="2941"/>
    <cellStyle name="Currency 2 3 2" xfId="2942"/>
    <cellStyle name="Currency 2 3 3" xfId="2943"/>
    <cellStyle name="Currency 2 3 4" xfId="2944"/>
    <cellStyle name="Currency 2 4" xfId="2945"/>
    <cellStyle name="Currency 2 4 2" xfId="18266"/>
    <cellStyle name="Currency 2 5" xfId="2946"/>
    <cellStyle name="Currency 3" xfId="2947"/>
    <cellStyle name="Currency 3 2" xfId="2948"/>
    <cellStyle name="Currency 3 2 2" xfId="2949"/>
    <cellStyle name="Currency 3 2 3" xfId="18267"/>
    <cellStyle name="Currency 3 3" xfId="2950"/>
    <cellStyle name="Currency 3 3 2" xfId="2951"/>
    <cellStyle name="Currency 3 3 3" xfId="2952"/>
    <cellStyle name="Currency 3 3 4" xfId="2953"/>
    <cellStyle name="Currency 3 4" xfId="2954"/>
    <cellStyle name="Currency 3 4 2" xfId="18268"/>
    <cellStyle name="Currency 3 5" xfId="2955"/>
    <cellStyle name="Currency 3 6" xfId="2956"/>
    <cellStyle name="Currency 3 7" xfId="18269"/>
    <cellStyle name="Currency 4" xfId="6"/>
    <cellStyle name="Currency 4 2" xfId="2957"/>
    <cellStyle name="Currency 4 2 2" xfId="2958"/>
    <cellStyle name="Currency 4 3" xfId="2959"/>
    <cellStyle name="Currency 4 3 2" xfId="2960"/>
    <cellStyle name="Currency 4 4" xfId="2961"/>
    <cellStyle name="Currency 5" xfId="2962"/>
    <cellStyle name="Currency 5 2" xfId="17999"/>
    <cellStyle name="Currency 5 3" xfId="18270"/>
    <cellStyle name="Currency 6" xfId="18000"/>
    <cellStyle name="Currency 6 2" xfId="18001"/>
    <cellStyle name="Currency 7" xfId="18002"/>
    <cellStyle name="Currency 8" xfId="2963"/>
    <cellStyle name="Currency 8 2" xfId="2964"/>
    <cellStyle name="Currency 9" xfId="18643"/>
    <cellStyle name="Currency0" xfId="18005"/>
    <cellStyle name="Date" xfId="18006"/>
    <cellStyle name="Emphasis 1" xfId="18271"/>
    <cellStyle name="Emphasis 2" xfId="18272"/>
    <cellStyle name="Emphasis 3" xfId="18273"/>
    <cellStyle name="entry lines" xfId="2965"/>
    <cellStyle name="entry lines 2" xfId="2966"/>
    <cellStyle name="entry lines 2 2" xfId="2967"/>
    <cellStyle name="entry lines 3" xfId="2968"/>
    <cellStyle name="entry lines 4" xfId="2969"/>
    <cellStyle name="Euro" xfId="18648"/>
    <cellStyle name="Explanatory Text 2" xfId="2970"/>
    <cellStyle name="Explanatory Text 2 2" xfId="2971"/>
    <cellStyle name="Explanatory Text 2 3" xfId="2972"/>
    <cellStyle name="Explanatory Text 3" xfId="2973"/>
    <cellStyle name="Explanatory Text 3 2" xfId="2974"/>
    <cellStyle name="Explanatory Text 4" xfId="2975"/>
    <cellStyle name="Explanatory Text 5" xfId="2976"/>
    <cellStyle name="Explanatory Text 6" xfId="18274"/>
    <cellStyle name="Fixed" xfId="18007"/>
    <cellStyle name="form" xfId="2977"/>
    <cellStyle name="Good 2" xfId="2978"/>
    <cellStyle name="Good 2 2" xfId="2979"/>
    <cellStyle name="Good 2 3" xfId="2980"/>
    <cellStyle name="Good 3" xfId="2981"/>
    <cellStyle name="Good 3 2" xfId="2982"/>
    <cellStyle name="Good 4" xfId="2983"/>
    <cellStyle name="Good 5" xfId="2984"/>
    <cellStyle name="Good 6" xfId="18275"/>
    <cellStyle name="HEADING" xfId="2985"/>
    <cellStyle name="Heading 1 2" xfId="2986"/>
    <cellStyle name="Heading 1 2 2" xfId="2987"/>
    <cellStyle name="Heading 1 2 3" xfId="2988"/>
    <cellStyle name="Heading 1 3" xfId="2989"/>
    <cellStyle name="Heading 1 3 2" xfId="2990"/>
    <cellStyle name="Heading 1 4" xfId="2991"/>
    <cellStyle name="Heading 1 5" xfId="2992"/>
    <cellStyle name="Heading 1 5 2" xfId="2993"/>
    <cellStyle name="Heading 1 5 2 2" xfId="2994"/>
    <cellStyle name="Heading 1 6" xfId="2995"/>
    <cellStyle name="Heading 1 6 2" xfId="2996"/>
    <cellStyle name="Heading 1 7" xfId="2997"/>
    <cellStyle name="Heading 1 8" xfId="18276"/>
    <cellStyle name="Heading 2 2" xfId="2998"/>
    <cellStyle name="Heading 2 2 2" xfId="2999"/>
    <cellStyle name="Heading 2 2 3" xfId="3000"/>
    <cellStyle name="Heading 2 3" xfId="3001"/>
    <cellStyle name="Heading 2 3 2" xfId="3002"/>
    <cellStyle name="Heading 2 4" xfId="3003"/>
    <cellStyle name="Heading 2 5" xfId="3004"/>
    <cellStyle name="Heading 2 5 2" xfId="3005"/>
    <cellStyle name="Heading 2 5 2 2" xfId="3006"/>
    <cellStyle name="Heading 2 6" xfId="3007"/>
    <cellStyle name="Heading 2 6 2" xfId="3008"/>
    <cellStyle name="Heading 2 7" xfId="3009"/>
    <cellStyle name="Heading 2 8" xfId="18277"/>
    <cellStyle name="Heading 3 2" xfId="3010"/>
    <cellStyle name="Heading 3 2 2" xfId="3011"/>
    <cellStyle name="Heading 3 2 3" xfId="3012"/>
    <cellStyle name="Heading 3 3" xfId="3013"/>
    <cellStyle name="Heading 3 3 2" xfId="3014"/>
    <cellStyle name="Heading 3 4" xfId="3015"/>
    <cellStyle name="Heading 3 5" xfId="3016"/>
    <cellStyle name="Heading 3 5 2" xfId="3017"/>
    <cellStyle name="Heading 3 5 2 2" xfId="3018"/>
    <cellStyle name="Heading 3 6" xfId="3019"/>
    <cellStyle name="Heading 3 6 2" xfId="3020"/>
    <cellStyle name="Heading 3 7" xfId="3021"/>
    <cellStyle name="Heading 3 8" xfId="18278"/>
    <cellStyle name="Heading 4 2" xfId="3022"/>
    <cellStyle name="Heading 4 2 2" xfId="3023"/>
    <cellStyle name="Heading 4 2 3" xfId="3024"/>
    <cellStyle name="Heading 4 3" xfId="3025"/>
    <cellStyle name="Heading 4 3 2" xfId="3026"/>
    <cellStyle name="Heading 4 4" xfId="3027"/>
    <cellStyle name="Heading 4 5" xfId="3028"/>
    <cellStyle name="Heading 4 5 2" xfId="3029"/>
    <cellStyle name="Heading 4 5 2 2" xfId="3030"/>
    <cellStyle name="Heading 4 6" xfId="3031"/>
    <cellStyle name="Heading 4 6 2" xfId="3032"/>
    <cellStyle name="Heading 4 7" xfId="3033"/>
    <cellStyle name="Heading 4 8" xfId="18279"/>
    <cellStyle name="Hyperlink" xfId="9" builtinId="8"/>
    <cellStyle name="Hyperlink 2" xfId="3034"/>
    <cellStyle name="Hyperlink 2 2" xfId="18280"/>
    <cellStyle name="Hyperlink 3" xfId="18647"/>
    <cellStyle name="Input 2" xfId="3035"/>
    <cellStyle name="Input 2 2" xfId="3036"/>
    <cellStyle name="Input 2 2 2" xfId="3037"/>
    <cellStyle name="Input 2 2 3" xfId="18281"/>
    <cellStyle name="Input 2 3" xfId="3038"/>
    <cellStyle name="Input 2 3 2" xfId="3039"/>
    <cellStyle name="Input 2 4" xfId="3040"/>
    <cellStyle name="Input 2 4 2" xfId="3041"/>
    <cellStyle name="Input 2 4 2 2" xfId="3042"/>
    <cellStyle name="Input 2 4 3" xfId="3043"/>
    <cellStyle name="Input 2 4 4" xfId="3044"/>
    <cellStyle name="Input 2 5" xfId="3045"/>
    <cellStyle name="Input 3" xfId="3046"/>
    <cellStyle name="Input 3 2" xfId="3047"/>
    <cellStyle name="Input 3 2 2" xfId="3048"/>
    <cellStyle name="Input 3 3" xfId="3049"/>
    <cellStyle name="Input 3 3 2" xfId="3050"/>
    <cellStyle name="Input 3 3 3" xfId="3051"/>
    <cellStyle name="Input 3 4" xfId="3052"/>
    <cellStyle name="Input 3 5" xfId="18282"/>
    <cellStyle name="Input 4" xfId="3053"/>
    <cellStyle name="Input 4 2" xfId="3054"/>
    <cellStyle name="Input 4 3" xfId="18283"/>
    <cellStyle name="Input 5" xfId="3055"/>
    <cellStyle name="Input 5 2" xfId="18284"/>
    <cellStyle name="Input 6" xfId="3056"/>
    <cellStyle name="Input 7" xfId="18285"/>
    <cellStyle name="LE" xfId="3057"/>
    <cellStyle name="LE 2" xfId="3058"/>
    <cellStyle name="LE 2 2" xfId="3059"/>
    <cellStyle name="LE 3" xfId="3060"/>
    <cellStyle name="LE 3 2" xfId="18286"/>
    <cellStyle name="LE 4" xfId="18287"/>
    <cellStyle name="Linked Cell 2" xfId="3061"/>
    <cellStyle name="Linked Cell 2 2" xfId="3062"/>
    <cellStyle name="Linked Cell 2 3" xfId="3063"/>
    <cellStyle name="Linked Cell 3" xfId="3064"/>
    <cellStyle name="Linked Cell 3 2" xfId="3065"/>
    <cellStyle name="Linked Cell 4" xfId="3066"/>
    <cellStyle name="Linked Cell 5" xfId="3067"/>
    <cellStyle name="Linked Cell 6" xfId="18288"/>
    <cellStyle name="LRP 96" xfId="3068"/>
    <cellStyle name="LRP 96 2" xfId="3069"/>
    <cellStyle name="LRP 96 2 2" xfId="3070"/>
    <cellStyle name="LRP 96 3" xfId="3071"/>
    <cellStyle name="LRP 96 3 2" xfId="18289"/>
    <cellStyle name="LRP 96 4" xfId="18290"/>
    <cellStyle name="Moneda [0]_VERA" xfId="3072"/>
    <cellStyle name="Moneda_VERA" xfId="3073"/>
    <cellStyle name="Neutral 2" xfId="3074"/>
    <cellStyle name="Neutral 2 2" xfId="3075"/>
    <cellStyle name="Neutral 2 3" xfId="3076"/>
    <cellStyle name="Neutral 3" xfId="3077"/>
    <cellStyle name="Neutral 3 2" xfId="3078"/>
    <cellStyle name="Neutral 4" xfId="3079"/>
    <cellStyle name="Neutral 5" xfId="3080"/>
    <cellStyle name="Neutral 6" xfId="18291"/>
    <cellStyle name="Normal" xfId="0" builtinId="0"/>
    <cellStyle name="Normal - Style1" xfId="3081"/>
    <cellStyle name="Normal - Style1 2" xfId="3082"/>
    <cellStyle name="Normal - Style1 3" xfId="3083"/>
    <cellStyle name="Normal - Style1 4" xfId="3084"/>
    <cellStyle name="Normal - Style1 5" xfId="3085"/>
    <cellStyle name="Normal - Style1 6" xfId="3086"/>
    <cellStyle name="Normal - Style1 7" xfId="3087"/>
    <cellStyle name="Normal - Style1 8" xfId="3088"/>
    <cellStyle name="Normal 10" xfId="3089"/>
    <cellStyle name="Normal 10 10" xfId="3090"/>
    <cellStyle name="Normal 10 11" xfId="3091"/>
    <cellStyle name="Normal 10 12" xfId="3092"/>
    <cellStyle name="Normal 10 13" xfId="3093"/>
    <cellStyle name="Normal 10 14" xfId="3094"/>
    <cellStyle name="Normal 10 15" xfId="3095"/>
    <cellStyle name="Normal 10 16" xfId="3096"/>
    <cellStyle name="Normal 10 17" xfId="3097"/>
    <cellStyle name="Normal 10 18" xfId="5"/>
    <cellStyle name="Normal 10 18 2" xfId="3098"/>
    <cellStyle name="Normal 10 18 2 2" xfId="3099"/>
    <cellStyle name="Normal 10 18 2 2 2" xfId="3100"/>
    <cellStyle name="Normal 10 18 2 3" xfId="3101"/>
    <cellStyle name="Normal 10 18 3" xfId="3102"/>
    <cellStyle name="Normal 10 18 3 2" xfId="3103"/>
    <cellStyle name="Normal 10 18 3 2 2" xfId="3104"/>
    <cellStyle name="Normal 10 18 3 3" xfId="3105"/>
    <cellStyle name="Normal 10 18 4" xfId="3106"/>
    <cellStyle name="Normal 10 18 4 2" xfId="3107"/>
    <cellStyle name="Normal 10 18 5" xfId="3108"/>
    <cellStyle name="Normal 10 19" xfId="3109"/>
    <cellStyle name="Normal 10 2" xfId="3110"/>
    <cellStyle name="Normal 10 2 10" xfId="3111"/>
    <cellStyle name="Normal 10 2 10 2" xfId="3112"/>
    <cellStyle name="Normal 10 2 11" xfId="3113"/>
    <cellStyle name="Normal 10 2 2" xfId="3114"/>
    <cellStyle name="Normal 10 2 2 2" xfId="3115"/>
    <cellStyle name="Normal 10 2 2 2 2" xfId="3116"/>
    <cellStyle name="Normal 10 2 2 2 2 2" xfId="3117"/>
    <cellStyle name="Normal 10 2 2 2 2 2 2" xfId="3118"/>
    <cellStyle name="Normal 10 2 2 2 2 3" xfId="3119"/>
    <cellStyle name="Normal 10 2 2 2 3" xfId="3120"/>
    <cellStyle name="Normal 10 2 2 2 3 2" xfId="3121"/>
    <cellStyle name="Normal 10 2 2 2 3 2 2" xfId="3122"/>
    <cellStyle name="Normal 10 2 2 2 3 3" xfId="3123"/>
    <cellStyle name="Normal 10 2 2 2 4" xfId="3124"/>
    <cellStyle name="Normal 10 2 2 2 4 2" xfId="3125"/>
    <cellStyle name="Normal 10 2 2 2 5" xfId="3126"/>
    <cellStyle name="Normal 10 2 2 3" xfId="3127"/>
    <cellStyle name="Normal 10 2 2 3 2" xfId="3128"/>
    <cellStyle name="Normal 10 2 2 3 2 2" xfId="3129"/>
    <cellStyle name="Normal 10 2 2 3 2 2 2" xfId="3130"/>
    <cellStyle name="Normal 10 2 2 3 2 3" xfId="3131"/>
    <cellStyle name="Normal 10 2 2 3 3" xfId="3132"/>
    <cellStyle name="Normal 10 2 2 3 3 2" xfId="3133"/>
    <cellStyle name="Normal 10 2 2 3 3 2 2" xfId="3134"/>
    <cellStyle name="Normal 10 2 2 3 3 3" xfId="3135"/>
    <cellStyle name="Normal 10 2 2 3 4" xfId="3136"/>
    <cellStyle name="Normal 10 2 2 3 4 2" xfId="3137"/>
    <cellStyle name="Normal 10 2 2 3 5" xfId="3138"/>
    <cellStyle name="Normal 10 2 2 4" xfId="3139"/>
    <cellStyle name="Normal 10 2 2 4 2" xfId="3140"/>
    <cellStyle name="Normal 10 2 2 4 2 2" xfId="3141"/>
    <cellStyle name="Normal 10 2 2 4 2 2 2" xfId="3142"/>
    <cellStyle name="Normal 10 2 2 4 2 3" xfId="3143"/>
    <cellStyle name="Normal 10 2 2 4 3" xfId="3144"/>
    <cellStyle name="Normal 10 2 2 4 3 2" xfId="3145"/>
    <cellStyle name="Normal 10 2 2 4 3 2 2" xfId="3146"/>
    <cellStyle name="Normal 10 2 2 4 3 3" xfId="3147"/>
    <cellStyle name="Normal 10 2 2 4 4" xfId="3148"/>
    <cellStyle name="Normal 10 2 2 4 4 2" xfId="3149"/>
    <cellStyle name="Normal 10 2 2 4 5" xfId="3150"/>
    <cellStyle name="Normal 10 2 2 5" xfId="3151"/>
    <cellStyle name="Normal 10 2 2 5 2" xfId="3152"/>
    <cellStyle name="Normal 10 2 2 5 2 2" xfId="3153"/>
    <cellStyle name="Normal 10 2 2 5 3" xfId="3154"/>
    <cellStyle name="Normal 10 2 2 6" xfId="3155"/>
    <cellStyle name="Normal 10 2 2 6 2" xfId="3156"/>
    <cellStyle name="Normal 10 2 2 6 2 2" xfId="3157"/>
    <cellStyle name="Normal 10 2 2 6 3" xfId="3158"/>
    <cellStyle name="Normal 10 2 2 7" xfId="3159"/>
    <cellStyle name="Normal 10 2 2 7 2" xfId="3160"/>
    <cellStyle name="Normal 10 2 2 8" xfId="3161"/>
    <cellStyle name="Normal 10 2 3" xfId="3162"/>
    <cellStyle name="Normal 10 2 3 2" xfId="3163"/>
    <cellStyle name="Normal 10 2 3 3" xfId="3164"/>
    <cellStyle name="Normal 10 2 3 3 2" xfId="3165"/>
    <cellStyle name="Normal 10 2 3 3 2 2" xfId="3166"/>
    <cellStyle name="Normal 10 2 3 3 3" xfId="3167"/>
    <cellStyle name="Normal 10 2 3 4" xfId="3168"/>
    <cellStyle name="Normal 10 2 3 4 2" xfId="3169"/>
    <cellStyle name="Normal 10 2 3 4 2 2" xfId="3170"/>
    <cellStyle name="Normal 10 2 3 4 3" xfId="3171"/>
    <cellStyle name="Normal 10 2 3 5" xfId="3172"/>
    <cellStyle name="Normal 10 2 3 5 2" xfId="3173"/>
    <cellStyle name="Normal 10 2 3 6" xfId="3174"/>
    <cellStyle name="Normal 10 2 4" xfId="3175"/>
    <cellStyle name="Normal 10 2 4 2" xfId="3176"/>
    <cellStyle name="Normal 10 2 4 2 2" xfId="3177"/>
    <cellStyle name="Normal 10 2 4 2 2 2" xfId="3178"/>
    <cellStyle name="Normal 10 2 4 2 3" xfId="3179"/>
    <cellStyle name="Normal 10 2 4 3" xfId="3180"/>
    <cellStyle name="Normal 10 2 4 3 2" xfId="3181"/>
    <cellStyle name="Normal 10 2 4 3 2 2" xfId="3182"/>
    <cellStyle name="Normal 10 2 4 3 3" xfId="3183"/>
    <cellStyle name="Normal 10 2 4 4" xfId="3184"/>
    <cellStyle name="Normal 10 2 4 4 2" xfId="3185"/>
    <cellStyle name="Normal 10 2 4 5" xfId="3186"/>
    <cellStyle name="Normal 10 2 5" xfId="3187"/>
    <cellStyle name="Normal 10 2 5 2" xfId="3188"/>
    <cellStyle name="Normal 10 2 5 2 2" xfId="3189"/>
    <cellStyle name="Normal 10 2 5 2 2 2" xfId="3190"/>
    <cellStyle name="Normal 10 2 5 2 3" xfId="3191"/>
    <cellStyle name="Normal 10 2 5 3" xfId="3192"/>
    <cellStyle name="Normal 10 2 5 3 2" xfId="3193"/>
    <cellStyle name="Normal 10 2 5 3 2 2" xfId="3194"/>
    <cellStyle name="Normal 10 2 5 3 3" xfId="3195"/>
    <cellStyle name="Normal 10 2 5 4" xfId="3196"/>
    <cellStyle name="Normal 10 2 5 4 2" xfId="3197"/>
    <cellStyle name="Normal 10 2 5 5" xfId="3198"/>
    <cellStyle name="Normal 10 2 6" xfId="3199"/>
    <cellStyle name="Normal 10 2 6 2" xfId="3200"/>
    <cellStyle name="Normal 10 2 6 2 2" xfId="3201"/>
    <cellStyle name="Normal 10 2 6 3" xfId="3202"/>
    <cellStyle name="Normal 10 2 7" xfId="3203"/>
    <cellStyle name="Normal 10 2 7 2" xfId="3204"/>
    <cellStyle name="Normal 10 2 7 2 2" xfId="3205"/>
    <cellStyle name="Normal 10 2 7 3" xfId="3206"/>
    <cellStyle name="Normal 10 2 8" xfId="3207"/>
    <cellStyle name="Normal 10 2 8 2" xfId="3208"/>
    <cellStyle name="Normal 10 2 8 2 2" xfId="3209"/>
    <cellStyle name="Normal 10 2 8 3" xfId="3210"/>
    <cellStyle name="Normal 10 2 9" xfId="3211"/>
    <cellStyle name="Normal 10 2 9 2" xfId="3212"/>
    <cellStyle name="Normal 10 2 9 2 2" xfId="3213"/>
    <cellStyle name="Normal 10 2 9 3" xfId="3214"/>
    <cellStyle name="Normal 10 20" xfId="3215"/>
    <cellStyle name="Normal 10 20 2" xfId="3216"/>
    <cellStyle name="Normal 10 20 2 2" xfId="3217"/>
    <cellStyle name="Normal 10 20 3" xfId="3218"/>
    <cellStyle name="Normal 10 21" xfId="3219"/>
    <cellStyle name="Normal 10 21 2" xfId="3220"/>
    <cellStyle name="Normal 10 21 2 2" xfId="3221"/>
    <cellStyle name="Normal 10 21 3" xfId="3222"/>
    <cellStyle name="Normal 10 22" xfId="3223"/>
    <cellStyle name="Normal 10 22 2" xfId="3224"/>
    <cellStyle name="Normal 10 23" xfId="18649"/>
    <cellStyle name="Normal 10 3" xfId="3225"/>
    <cellStyle name="Normal 10 3 10" xfId="3226"/>
    <cellStyle name="Normal 10 3 10 2" xfId="3227"/>
    <cellStyle name="Normal 10 3 11" xfId="3228"/>
    <cellStyle name="Normal 10 3 2" xfId="3229"/>
    <cellStyle name="Normal 10 3 2 2" xfId="3230"/>
    <cellStyle name="Normal 10 3 2 2 2" xfId="3231"/>
    <cellStyle name="Normal 10 3 2 2 2 2" xfId="3232"/>
    <cellStyle name="Normal 10 3 2 2 2 2 2" xfId="3233"/>
    <cellStyle name="Normal 10 3 2 2 2 3" xfId="3234"/>
    <cellStyle name="Normal 10 3 2 2 3" xfId="3235"/>
    <cellStyle name="Normal 10 3 2 2 3 2" xfId="3236"/>
    <cellStyle name="Normal 10 3 2 2 3 2 2" xfId="3237"/>
    <cellStyle name="Normal 10 3 2 2 3 3" xfId="3238"/>
    <cellStyle name="Normal 10 3 2 2 4" xfId="3239"/>
    <cellStyle name="Normal 10 3 2 2 4 2" xfId="3240"/>
    <cellStyle name="Normal 10 3 2 2 5" xfId="3241"/>
    <cellStyle name="Normal 10 3 2 3" xfId="3242"/>
    <cellStyle name="Normal 10 3 2 3 2" xfId="3243"/>
    <cellStyle name="Normal 10 3 2 3 2 2" xfId="3244"/>
    <cellStyle name="Normal 10 3 2 3 2 2 2" xfId="3245"/>
    <cellStyle name="Normal 10 3 2 3 2 3" xfId="3246"/>
    <cellStyle name="Normal 10 3 2 3 3" xfId="3247"/>
    <cellStyle name="Normal 10 3 2 3 3 2" xfId="3248"/>
    <cellStyle name="Normal 10 3 2 3 3 2 2" xfId="3249"/>
    <cellStyle name="Normal 10 3 2 3 3 3" xfId="3250"/>
    <cellStyle name="Normal 10 3 2 3 4" xfId="3251"/>
    <cellStyle name="Normal 10 3 2 3 4 2" xfId="3252"/>
    <cellStyle name="Normal 10 3 2 3 5" xfId="3253"/>
    <cellStyle name="Normal 10 3 2 4" xfId="3254"/>
    <cellStyle name="Normal 10 3 2 4 2" xfId="3255"/>
    <cellStyle name="Normal 10 3 2 4 2 2" xfId="3256"/>
    <cellStyle name="Normal 10 3 2 4 2 2 2" xfId="3257"/>
    <cellStyle name="Normal 10 3 2 4 2 3" xfId="3258"/>
    <cellStyle name="Normal 10 3 2 4 3" xfId="3259"/>
    <cellStyle name="Normal 10 3 2 4 3 2" xfId="3260"/>
    <cellStyle name="Normal 10 3 2 4 3 2 2" xfId="3261"/>
    <cellStyle name="Normal 10 3 2 4 3 3" xfId="3262"/>
    <cellStyle name="Normal 10 3 2 4 4" xfId="3263"/>
    <cellStyle name="Normal 10 3 2 4 4 2" xfId="3264"/>
    <cellStyle name="Normal 10 3 2 4 5" xfId="3265"/>
    <cellStyle name="Normal 10 3 2 5" xfId="3266"/>
    <cellStyle name="Normal 10 3 2 5 2" xfId="3267"/>
    <cellStyle name="Normal 10 3 2 5 2 2" xfId="3268"/>
    <cellStyle name="Normal 10 3 2 5 3" xfId="3269"/>
    <cellStyle name="Normal 10 3 2 6" xfId="3270"/>
    <cellStyle name="Normal 10 3 2 6 2" xfId="3271"/>
    <cellStyle name="Normal 10 3 2 6 2 2" xfId="3272"/>
    <cellStyle name="Normal 10 3 2 6 3" xfId="3273"/>
    <cellStyle name="Normal 10 3 2 7" xfId="3274"/>
    <cellStyle name="Normal 10 3 2 7 2" xfId="3275"/>
    <cellStyle name="Normal 10 3 2 8" xfId="3276"/>
    <cellStyle name="Normal 10 3 3" xfId="3277"/>
    <cellStyle name="Normal 10 3 3 2" xfId="3278"/>
    <cellStyle name="Normal 10 3 3 3" xfId="3279"/>
    <cellStyle name="Normal 10 3 3 3 2" xfId="3280"/>
    <cellStyle name="Normal 10 3 3 3 2 2" xfId="3281"/>
    <cellStyle name="Normal 10 3 3 3 3" xfId="3282"/>
    <cellStyle name="Normal 10 3 3 4" xfId="3283"/>
    <cellStyle name="Normal 10 3 3 4 2" xfId="3284"/>
    <cellStyle name="Normal 10 3 3 4 2 2" xfId="3285"/>
    <cellStyle name="Normal 10 3 3 4 3" xfId="3286"/>
    <cellStyle name="Normal 10 3 3 5" xfId="3287"/>
    <cellStyle name="Normal 10 3 3 5 2" xfId="3288"/>
    <cellStyle name="Normal 10 3 3 6" xfId="3289"/>
    <cellStyle name="Normal 10 3 4" xfId="3290"/>
    <cellStyle name="Normal 10 3 4 2" xfId="3291"/>
    <cellStyle name="Normal 10 3 4 2 2" xfId="3292"/>
    <cellStyle name="Normal 10 3 4 2 2 2" xfId="3293"/>
    <cellStyle name="Normal 10 3 4 2 3" xfId="3294"/>
    <cellStyle name="Normal 10 3 4 3" xfId="3295"/>
    <cellStyle name="Normal 10 3 4 3 2" xfId="3296"/>
    <cellStyle name="Normal 10 3 4 3 2 2" xfId="3297"/>
    <cellStyle name="Normal 10 3 4 3 3" xfId="3298"/>
    <cellStyle name="Normal 10 3 4 4" xfId="3299"/>
    <cellStyle name="Normal 10 3 4 4 2" xfId="3300"/>
    <cellStyle name="Normal 10 3 4 5" xfId="3301"/>
    <cellStyle name="Normal 10 3 5" xfId="3302"/>
    <cellStyle name="Normal 10 3 5 2" xfId="3303"/>
    <cellStyle name="Normal 10 3 5 2 2" xfId="3304"/>
    <cellStyle name="Normal 10 3 5 2 2 2" xfId="3305"/>
    <cellStyle name="Normal 10 3 5 2 3" xfId="3306"/>
    <cellStyle name="Normal 10 3 5 3" xfId="3307"/>
    <cellStyle name="Normal 10 3 5 3 2" xfId="3308"/>
    <cellStyle name="Normal 10 3 5 3 2 2" xfId="3309"/>
    <cellStyle name="Normal 10 3 5 3 3" xfId="3310"/>
    <cellStyle name="Normal 10 3 5 4" xfId="3311"/>
    <cellStyle name="Normal 10 3 5 4 2" xfId="3312"/>
    <cellStyle name="Normal 10 3 5 5" xfId="3313"/>
    <cellStyle name="Normal 10 3 6" xfId="3314"/>
    <cellStyle name="Normal 10 3 6 2" xfId="3315"/>
    <cellStyle name="Normal 10 3 6 2 2" xfId="3316"/>
    <cellStyle name="Normal 10 3 6 3" xfId="3317"/>
    <cellStyle name="Normal 10 3 7" xfId="3318"/>
    <cellStyle name="Normal 10 3 7 2" xfId="3319"/>
    <cellStyle name="Normal 10 3 7 2 2" xfId="3320"/>
    <cellStyle name="Normal 10 3 7 3" xfId="3321"/>
    <cellStyle name="Normal 10 3 8" xfId="3322"/>
    <cellStyle name="Normal 10 3 8 2" xfId="3323"/>
    <cellStyle name="Normal 10 3 8 2 2" xfId="3324"/>
    <cellStyle name="Normal 10 3 8 3" xfId="3325"/>
    <cellStyle name="Normal 10 3 9" xfId="3326"/>
    <cellStyle name="Normal 10 3 9 2" xfId="3327"/>
    <cellStyle name="Normal 10 3 9 2 2" xfId="3328"/>
    <cellStyle name="Normal 10 3 9 3" xfId="3329"/>
    <cellStyle name="Normal 10 4" xfId="3330"/>
    <cellStyle name="Normal 10 4 2" xfId="3331"/>
    <cellStyle name="Normal 10 4 2 2" xfId="3332"/>
    <cellStyle name="Normal 10 4 2 3" xfId="3333"/>
    <cellStyle name="Normal 10 4 2 3 2" xfId="3334"/>
    <cellStyle name="Normal 10 4 2 3 2 2" xfId="3335"/>
    <cellStyle name="Normal 10 4 2 3 3" xfId="3336"/>
    <cellStyle name="Normal 10 4 2 4" xfId="3337"/>
    <cellStyle name="Normal 10 4 2 4 2" xfId="3338"/>
    <cellStyle name="Normal 10 4 2 4 2 2" xfId="3339"/>
    <cellStyle name="Normal 10 4 2 4 3" xfId="3340"/>
    <cellStyle name="Normal 10 4 2 5" xfId="3341"/>
    <cellStyle name="Normal 10 4 2 5 2" xfId="3342"/>
    <cellStyle name="Normal 10 4 2 6" xfId="3343"/>
    <cellStyle name="Normal 10 4 3" xfId="3344"/>
    <cellStyle name="Normal 10 4 3 2" xfId="3345"/>
    <cellStyle name="Normal 10 4 3 2 2" xfId="3346"/>
    <cellStyle name="Normal 10 4 3 2 2 2" xfId="3347"/>
    <cellStyle name="Normal 10 4 3 2 3" xfId="3348"/>
    <cellStyle name="Normal 10 4 3 3" xfId="3349"/>
    <cellStyle name="Normal 10 4 3 3 2" xfId="3350"/>
    <cellStyle name="Normal 10 4 3 3 2 2" xfId="3351"/>
    <cellStyle name="Normal 10 4 3 3 3" xfId="3352"/>
    <cellStyle name="Normal 10 4 3 4" xfId="3353"/>
    <cellStyle name="Normal 10 4 3 4 2" xfId="3354"/>
    <cellStyle name="Normal 10 4 3 5" xfId="3355"/>
    <cellStyle name="Normal 10 4 4" xfId="3356"/>
    <cellStyle name="Normal 10 4 4 2" xfId="3357"/>
    <cellStyle name="Normal 10 4 4 2 2" xfId="3358"/>
    <cellStyle name="Normal 10 4 4 2 2 2" xfId="3359"/>
    <cellStyle name="Normal 10 4 4 2 3" xfId="3360"/>
    <cellStyle name="Normal 10 4 4 3" xfId="3361"/>
    <cellStyle name="Normal 10 4 4 3 2" xfId="3362"/>
    <cellStyle name="Normal 10 4 4 3 2 2" xfId="3363"/>
    <cellStyle name="Normal 10 4 4 3 3" xfId="3364"/>
    <cellStyle name="Normal 10 4 4 4" xfId="3365"/>
    <cellStyle name="Normal 10 4 4 4 2" xfId="3366"/>
    <cellStyle name="Normal 10 4 4 5" xfId="3367"/>
    <cellStyle name="Normal 10 4 5" xfId="3368"/>
    <cellStyle name="Normal 10 4 5 2" xfId="3369"/>
    <cellStyle name="Normal 10 4 5 2 2" xfId="3370"/>
    <cellStyle name="Normal 10 4 5 3" xfId="3371"/>
    <cellStyle name="Normal 10 4 6" xfId="3372"/>
    <cellStyle name="Normal 10 4 6 2" xfId="3373"/>
    <cellStyle name="Normal 10 4 6 2 2" xfId="3374"/>
    <cellStyle name="Normal 10 4 6 3" xfId="3375"/>
    <cellStyle name="Normal 10 4 7" xfId="3376"/>
    <cellStyle name="Normal 10 4 7 2" xfId="3377"/>
    <cellStyle name="Normal 10 4 8" xfId="3378"/>
    <cellStyle name="Normal 10 5" xfId="3379"/>
    <cellStyle name="Normal 10 5 2" xfId="3380"/>
    <cellStyle name="Normal 10 5 3" xfId="3381"/>
    <cellStyle name="Normal 10 5 3 2" xfId="3382"/>
    <cellStyle name="Normal 10 5 3 2 2" xfId="3383"/>
    <cellStyle name="Normal 10 5 3 3" xfId="3384"/>
    <cellStyle name="Normal 10 5 4" xfId="3385"/>
    <cellStyle name="Normal 10 5 4 2" xfId="3386"/>
    <cellStyle name="Normal 10 5 4 2 2" xfId="3387"/>
    <cellStyle name="Normal 10 5 4 3" xfId="3388"/>
    <cellStyle name="Normal 10 5 5" xfId="3389"/>
    <cellStyle name="Normal 10 5 5 2" xfId="3390"/>
    <cellStyle name="Normal 10 5 6" xfId="3391"/>
    <cellStyle name="Normal 10 6" xfId="3392"/>
    <cellStyle name="Normal 10 6 2" xfId="3393"/>
    <cellStyle name="Normal 10 6 3" xfId="3394"/>
    <cellStyle name="Normal 10 6 3 2" xfId="3395"/>
    <cellStyle name="Normal 10 6 3 2 2" xfId="3396"/>
    <cellStyle name="Normal 10 6 3 3" xfId="3397"/>
    <cellStyle name="Normal 10 6 4" xfId="3398"/>
    <cellStyle name="Normal 10 6 4 2" xfId="3399"/>
    <cellStyle name="Normal 10 6 4 2 2" xfId="3400"/>
    <cellStyle name="Normal 10 6 4 3" xfId="3401"/>
    <cellStyle name="Normal 10 6 5" xfId="3402"/>
    <cellStyle name="Normal 10 6 5 2" xfId="3403"/>
    <cellStyle name="Normal 10 6 6" xfId="3404"/>
    <cellStyle name="Normal 10 7" xfId="3405"/>
    <cellStyle name="Normal 10 8" xfId="3406"/>
    <cellStyle name="Normal 10 9" xfId="3407"/>
    <cellStyle name="Normal 100" xfId="18292"/>
    <cellStyle name="Normal 101" xfId="18293"/>
    <cellStyle name="Normal 102" xfId="18294"/>
    <cellStyle name="Normal 103" xfId="18295"/>
    <cellStyle name="Normal 104" xfId="18296"/>
    <cellStyle name="Normal 105" xfId="18297"/>
    <cellStyle name="Normal 106" xfId="18298"/>
    <cellStyle name="Normal 107" xfId="18299"/>
    <cellStyle name="Normal 108" xfId="18300"/>
    <cellStyle name="Normal 109" xfId="18301"/>
    <cellStyle name="Normal 11" xfId="3408"/>
    <cellStyle name="Normal 11 10" xfId="3409"/>
    <cellStyle name="Normal 11 11" xfId="3410"/>
    <cellStyle name="Normal 11 12" xfId="3411"/>
    <cellStyle name="Normal 11 13" xfId="3412"/>
    <cellStyle name="Normal 11 14" xfId="3413"/>
    <cellStyle name="Normal 11 15" xfId="3414"/>
    <cellStyle name="Normal 11 16" xfId="3415"/>
    <cellStyle name="Normal 11 17" xfId="3416"/>
    <cellStyle name="Normal 11 17 2" xfId="3417"/>
    <cellStyle name="Normal 11 17 2 2" xfId="3418"/>
    <cellStyle name="Normal 11 17 2 2 2" xfId="3419"/>
    <cellStyle name="Normal 11 17 2 3" xfId="3420"/>
    <cellStyle name="Normal 11 17 3" xfId="3421"/>
    <cellStyle name="Normal 11 17 3 2" xfId="3422"/>
    <cellStyle name="Normal 11 17 3 2 2" xfId="3423"/>
    <cellStyle name="Normal 11 17 3 3" xfId="3424"/>
    <cellStyle name="Normal 11 17 4" xfId="3425"/>
    <cellStyle name="Normal 11 17 4 2" xfId="3426"/>
    <cellStyle name="Normal 11 17 5" xfId="3427"/>
    <cellStyle name="Normal 11 18" xfId="3428"/>
    <cellStyle name="Normal 11 19" xfId="3429"/>
    <cellStyle name="Normal 11 19 2" xfId="3430"/>
    <cellStyle name="Normal 11 19 2 2" xfId="3431"/>
    <cellStyle name="Normal 11 19 3" xfId="3432"/>
    <cellStyle name="Normal 11 2" xfId="3433"/>
    <cellStyle name="Normal 11 2 2" xfId="3434"/>
    <cellStyle name="Normal 11 2 2 2" xfId="3435"/>
    <cellStyle name="Normal 11 2 2 2 2" xfId="3436"/>
    <cellStyle name="Normal 11 2 2 2 2 2" xfId="3437"/>
    <cellStyle name="Normal 11 2 2 2 3" xfId="3438"/>
    <cellStyle name="Normal 11 2 2 3" xfId="3439"/>
    <cellStyle name="Normal 11 2 2 3 2" xfId="3440"/>
    <cellStyle name="Normal 11 2 2 3 2 2" xfId="3441"/>
    <cellStyle name="Normal 11 2 2 3 3" xfId="3442"/>
    <cellStyle name="Normal 11 2 3" xfId="3443"/>
    <cellStyle name="Normal 11 2 4" xfId="3444"/>
    <cellStyle name="Normal 11 20" xfId="3445"/>
    <cellStyle name="Normal 11 20 2" xfId="3446"/>
    <cellStyle name="Normal 11 20 2 2" xfId="3447"/>
    <cellStyle name="Normal 11 20 3" xfId="3448"/>
    <cellStyle name="Normal 11 21" xfId="3449"/>
    <cellStyle name="Normal 11 21 2" xfId="3450"/>
    <cellStyle name="Normal 11 22" xfId="18650"/>
    <cellStyle name="Normal 11 3" xfId="3451"/>
    <cellStyle name="Normal 11 3 10" xfId="3452"/>
    <cellStyle name="Normal 11 3 10 2" xfId="3453"/>
    <cellStyle name="Normal 11 3 11" xfId="3454"/>
    <cellStyle name="Normal 11 3 2" xfId="3455"/>
    <cellStyle name="Normal 11 3 2 2" xfId="3456"/>
    <cellStyle name="Normal 11 3 2 2 2" xfId="3457"/>
    <cellStyle name="Normal 11 3 2 2 2 2" xfId="3458"/>
    <cellStyle name="Normal 11 3 2 2 2 2 2" xfId="3459"/>
    <cellStyle name="Normal 11 3 2 2 2 3" xfId="3460"/>
    <cellStyle name="Normal 11 3 2 2 3" xfId="3461"/>
    <cellStyle name="Normal 11 3 2 2 3 2" xfId="3462"/>
    <cellStyle name="Normal 11 3 2 2 3 2 2" xfId="3463"/>
    <cellStyle name="Normal 11 3 2 2 3 3" xfId="3464"/>
    <cellStyle name="Normal 11 3 2 2 4" xfId="3465"/>
    <cellStyle name="Normal 11 3 2 2 4 2" xfId="3466"/>
    <cellStyle name="Normal 11 3 2 2 5" xfId="3467"/>
    <cellStyle name="Normal 11 3 2 3" xfId="3468"/>
    <cellStyle name="Normal 11 3 2 3 2" xfId="3469"/>
    <cellStyle name="Normal 11 3 2 3 2 2" xfId="3470"/>
    <cellStyle name="Normal 11 3 2 3 2 2 2" xfId="3471"/>
    <cellStyle name="Normal 11 3 2 3 2 3" xfId="3472"/>
    <cellStyle name="Normal 11 3 2 3 3" xfId="3473"/>
    <cellStyle name="Normal 11 3 2 3 3 2" xfId="3474"/>
    <cellStyle name="Normal 11 3 2 3 3 2 2" xfId="3475"/>
    <cellStyle name="Normal 11 3 2 3 3 3" xfId="3476"/>
    <cellStyle name="Normal 11 3 2 3 4" xfId="3477"/>
    <cellStyle name="Normal 11 3 2 3 4 2" xfId="3478"/>
    <cellStyle name="Normal 11 3 2 3 5" xfId="3479"/>
    <cellStyle name="Normal 11 3 2 4" xfId="3480"/>
    <cellStyle name="Normal 11 3 2 4 2" xfId="3481"/>
    <cellStyle name="Normal 11 3 2 4 2 2" xfId="3482"/>
    <cellStyle name="Normal 11 3 2 4 2 2 2" xfId="3483"/>
    <cellStyle name="Normal 11 3 2 4 2 3" xfId="3484"/>
    <cellStyle name="Normal 11 3 2 4 3" xfId="3485"/>
    <cellStyle name="Normal 11 3 2 4 3 2" xfId="3486"/>
    <cellStyle name="Normal 11 3 2 4 3 2 2" xfId="3487"/>
    <cellStyle name="Normal 11 3 2 4 3 3" xfId="3488"/>
    <cellStyle name="Normal 11 3 2 4 4" xfId="3489"/>
    <cellStyle name="Normal 11 3 2 4 4 2" xfId="3490"/>
    <cellStyle name="Normal 11 3 2 4 5" xfId="3491"/>
    <cellStyle name="Normal 11 3 2 5" xfId="3492"/>
    <cellStyle name="Normal 11 3 2 5 2" xfId="3493"/>
    <cellStyle name="Normal 11 3 2 5 2 2" xfId="3494"/>
    <cellStyle name="Normal 11 3 2 5 3" xfId="3495"/>
    <cellStyle name="Normal 11 3 2 6" xfId="3496"/>
    <cellStyle name="Normal 11 3 2 6 2" xfId="3497"/>
    <cellStyle name="Normal 11 3 2 6 2 2" xfId="3498"/>
    <cellStyle name="Normal 11 3 2 6 3" xfId="3499"/>
    <cellStyle name="Normal 11 3 2 7" xfId="3500"/>
    <cellStyle name="Normal 11 3 2 7 2" xfId="3501"/>
    <cellStyle name="Normal 11 3 2 8" xfId="3502"/>
    <cellStyle name="Normal 11 3 3" xfId="3503"/>
    <cellStyle name="Normal 11 3 3 2" xfId="3504"/>
    <cellStyle name="Normal 11 3 3 3" xfId="3505"/>
    <cellStyle name="Normal 11 3 3 3 2" xfId="3506"/>
    <cellStyle name="Normal 11 3 3 3 2 2" xfId="3507"/>
    <cellStyle name="Normal 11 3 3 3 3" xfId="3508"/>
    <cellStyle name="Normal 11 3 3 4" xfId="3509"/>
    <cellStyle name="Normal 11 3 3 4 2" xfId="3510"/>
    <cellStyle name="Normal 11 3 3 4 2 2" xfId="3511"/>
    <cellStyle name="Normal 11 3 3 4 3" xfId="3512"/>
    <cellStyle name="Normal 11 3 3 5" xfId="3513"/>
    <cellStyle name="Normal 11 3 3 5 2" xfId="3514"/>
    <cellStyle name="Normal 11 3 3 6" xfId="3515"/>
    <cellStyle name="Normal 11 3 4" xfId="3516"/>
    <cellStyle name="Normal 11 3 4 2" xfId="3517"/>
    <cellStyle name="Normal 11 3 4 2 2" xfId="3518"/>
    <cellStyle name="Normal 11 3 4 2 2 2" xfId="3519"/>
    <cellStyle name="Normal 11 3 4 2 3" xfId="3520"/>
    <cellStyle name="Normal 11 3 4 3" xfId="3521"/>
    <cellStyle name="Normal 11 3 4 3 2" xfId="3522"/>
    <cellStyle name="Normal 11 3 4 3 2 2" xfId="3523"/>
    <cellStyle name="Normal 11 3 4 3 3" xfId="3524"/>
    <cellStyle name="Normal 11 3 4 4" xfId="3525"/>
    <cellStyle name="Normal 11 3 4 4 2" xfId="3526"/>
    <cellStyle name="Normal 11 3 4 5" xfId="3527"/>
    <cellStyle name="Normal 11 3 5" xfId="3528"/>
    <cellStyle name="Normal 11 3 5 2" xfId="3529"/>
    <cellStyle name="Normal 11 3 5 2 2" xfId="3530"/>
    <cellStyle name="Normal 11 3 5 2 2 2" xfId="3531"/>
    <cellStyle name="Normal 11 3 5 2 3" xfId="3532"/>
    <cellStyle name="Normal 11 3 5 3" xfId="3533"/>
    <cellStyle name="Normal 11 3 5 3 2" xfId="3534"/>
    <cellStyle name="Normal 11 3 5 3 2 2" xfId="3535"/>
    <cellStyle name="Normal 11 3 5 3 3" xfId="3536"/>
    <cellStyle name="Normal 11 3 5 4" xfId="3537"/>
    <cellStyle name="Normal 11 3 5 4 2" xfId="3538"/>
    <cellStyle name="Normal 11 3 5 5" xfId="3539"/>
    <cellStyle name="Normal 11 3 6" xfId="3540"/>
    <cellStyle name="Normal 11 3 6 2" xfId="3541"/>
    <cellStyle name="Normal 11 3 6 2 2" xfId="3542"/>
    <cellStyle name="Normal 11 3 6 3" xfId="3543"/>
    <cellStyle name="Normal 11 3 7" xfId="3544"/>
    <cellStyle name="Normal 11 3 7 2" xfId="3545"/>
    <cellStyle name="Normal 11 3 7 2 2" xfId="3546"/>
    <cellStyle name="Normal 11 3 7 3" xfId="3547"/>
    <cellStyle name="Normal 11 3 8" xfId="3548"/>
    <cellStyle name="Normal 11 3 8 2" xfId="3549"/>
    <cellStyle name="Normal 11 3 8 2 2" xfId="3550"/>
    <cellStyle name="Normal 11 3 8 3" xfId="3551"/>
    <cellStyle name="Normal 11 3 9" xfId="3552"/>
    <cellStyle name="Normal 11 3 9 2" xfId="3553"/>
    <cellStyle name="Normal 11 3 9 2 2" xfId="3554"/>
    <cellStyle name="Normal 11 3 9 3" xfId="3555"/>
    <cellStyle name="Normal 11 4" xfId="3556"/>
    <cellStyle name="Normal 11 4 10" xfId="3557"/>
    <cellStyle name="Normal 11 4 10 2" xfId="3558"/>
    <cellStyle name="Normal 11 4 11" xfId="3559"/>
    <cellStyle name="Normal 11 4 2" xfId="3560"/>
    <cellStyle name="Normal 11 4 2 2" xfId="3561"/>
    <cellStyle name="Normal 11 4 2 2 2" xfId="3562"/>
    <cellStyle name="Normal 11 4 2 2 2 2" xfId="3563"/>
    <cellStyle name="Normal 11 4 2 2 2 2 2" xfId="3564"/>
    <cellStyle name="Normal 11 4 2 2 2 3" xfId="3565"/>
    <cellStyle name="Normal 11 4 2 2 3" xfId="3566"/>
    <cellStyle name="Normal 11 4 2 2 3 2" xfId="3567"/>
    <cellStyle name="Normal 11 4 2 2 3 2 2" xfId="3568"/>
    <cellStyle name="Normal 11 4 2 2 3 3" xfId="3569"/>
    <cellStyle name="Normal 11 4 2 2 4" xfId="3570"/>
    <cellStyle name="Normal 11 4 2 2 4 2" xfId="3571"/>
    <cellStyle name="Normal 11 4 2 2 5" xfId="3572"/>
    <cellStyle name="Normal 11 4 2 3" xfId="3573"/>
    <cellStyle name="Normal 11 4 2 3 2" xfId="3574"/>
    <cellStyle name="Normal 11 4 2 3 2 2" xfId="3575"/>
    <cellStyle name="Normal 11 4 2 3 2 2 2" xfId="3576"/>
    <cellStyle name="Normal 11 4 2 3 2 3" xfId="3577"/>
    <cellStyle name="Normal 11 4 2 3 3" xfId="3578"/>
    <cellStyle name="Normal 11 4 2 3 3 2" xfId="3579"/>
    <cellStyle name="Normal 11 4 2 3 3 2 2" xfId="3580"/>
    <cellStyle name="Normal 11 4 2 3 3 3" xfId="3581"/>
    <cellStyle name="Normal 11 4 2 3 4" xfId="3582"/>
    <cellStyle name="Normal 11 4 2 3 4 2" xfId="3583"/>
    <cellStyle name="Normal 11 4 2 3 5" xfId="3584"/>
    <cellStyle name="Normal 11 4 2 4" xfId="3585"/>
    <cellStyle name="Normal 11 4 2 4 2" xfId="3586"/>
    <cellStyle name="Normal 11 4 2 4 2 2" xfId="3587"/>
    <cellStyle name="Normal 11 4 2 4 2 2 2" xfId="3588"/>
    <cellStyle name="Normal 11 4 2 4 2 3" xfId="3589"/>
    <cellStyle name="Normal 11 4 2 4 3" xfId="3590"/>
    <cellStyle name="Normal 11 4 2 4 3 2" xfId="3591"/>
    <cellStyle name="Normal 11 4 2 4 3 2 2" xfId="3592"/>
    <cellStyle name="Normal 11 4 2 4 3 3" xfId="3593"/>
    <cellStyle name="Normal 11 4 2 4 4" xfId="3594"/>
    <cellStyle name="Normal 11 4 2 4 4 2" xfId="3595"/>
    <cellStyle name="Normal 11 4 2 4 5" xfId="3596"/>
    <cellStyle name="Normal 11 4 2 5" xfId="3597"/>
    <cellStyle name="Normal 11 4 2 5 2" xfId="3598"/>
    <cellStyle name="Normal 11 4 2 5 2 2" xfId="3599"/>
    <cellStyle name="Normal 11 4 2 5 3" xfId="3600"/>
    <cellStyle name="Normal 11 4 2 6" xfId="3601"/>
    <cellStyle name="Normal 11 4 2 6 2" xfId="3602"/>
    <cellStyle name="Normal 11 4 2 6 2 2" xfId="3603"/>
    <cellStyle name="Normal 11 4 2 6 3" xfId="3604"/>
    <cellStyle name="Normal 11 4 2 7" xfId="3605"/>
    <cellStyle name="Normal 11 4 2 7 2" xfId="3606"/>
    <cellStyle name="Normal 11 4 2 8" xfId="3607"/>
    <cellStyle name="Normal 11 4 3" xfId="3608"/>
    <cellStyle name="Normal 11 4 3 2" xfId="3609"/>
    <cellStyle name="Normal 11 4 3 3" xfId="3610"/>
    <cellStyle name="Normal 11 4 3 3 2" xfId="3611"/>
    <cellStyle name="Normal 11 4 3 3 2 2" xfId="3612"/>
    <cellStyle name="Normal 11 4 3 3 3" xfId="3613"/>
    <cellStyle name="Normal 11 4 3 4" xfId="3614"/>
    <cellStyle name="Normal 11 4 3 4 2" xfId="3615"/>
    <cellStyle name="Normal 11 4 3 4 2 2" xfId="3616"/>
    <cellStyle name="Normal 11 4 3 4 3" xfId="3617"/>
    <cellStyle name="Normal 11 4 3 5" xfId="3618"/>
    <cellStyle name="Normal 11 4 3 5 2" xfId="3619"/>
    <cellStyle name="Normal 11 4 3 6" xfId="3620"/>
    <cellStyle name="Normal 11 4 4" xfId="3621"/>
    <cellStyle name="Normal 11 4 4 2" xfId="3622"/>
    <cellStyle name="Normal 11 4 4 2 2" xfId="3623"/>
    <cellStyle name="Normal 11 4 4 2 2 2" xfId="3624"/>
    <cellStyle name="Normal 11 4 4 2 3" xfId="3625"/>
    <cellStyle name="Normal 11 4 4 3" xfId="3626"/>
    <cellStyle name="Normal 11 4 4 3 2" xfId="3627"/>
    <cellStyle name="Normal 11 4 4 3 2 2" xfId="3628"/>
    <cellStyle name="Normal 11 4 4 3 3" xfId="3629"/>
    <cellStyle name="Normal 11 4 4 4" xfId="3630"/>
    <cellStyle name="Normal 11 4 4 4 2" xfId="3631"/>
    <cellStyle name="Normal 11 4 4 5" xfId="3632"/>
    <cellStyle name="Normal 11 4 5" xfId="3633"/>
    <cellStyle name="Normal 11 4 5 2" xfId="3634"/>
    <cellStyle name="Normal 11 4 5 2 2" xfId="3635"/>
    <cellStyle name="Normal 11 4 5 2 2 2" xfId="3636"/>
    <cellStyle name="Normal 11 4 5 2 3" xfId="3637"/>
    <cellStyle name="Normal 11 4 5 3" xfId="3638"/>
    <cellStyle name="Normal 11 4 5 3 2" xfId="3639"/>
    <cellStyle name="Normal 11 4 5 3 2 2" xfId="3640"/>
    <cellStyle name="Normal 11 4 5 3 3" xfId="3641"/>
    <cellStyle name="Normal 11 4 5 4" xfId="3642"/>
    <cellStyle name="Normal 11 4 5 4 2" xfId="3643"/>
    <cellStyle name="Normal 11 4 5 5" xfId="3644"/>
    <cellStyle name="Normal 11 4 6" xfId="3645"/>
    <cellStyle name="Normal 11 4 6 2" xfId="3646"/>
    <cellStyle name="Normal 11 4 6 2 2" xfId="3647"/>
    <cellStyle name="Normal 11 4 6 3" xfId="3648"/>
    <cellStyle name="Normal 11 4 7" xfId="3649"/>
    <cellStyle name="Normal 11 4 7 2" xfId="3650"/>
    <cellStyle name="Normal 11 4 7 2 2" xfId="3651"/>
    <cellStyle name="Normal 11 4 7 3" xfId="3652"/>
    <cellStyle name="Normal 11 4 8" xfId="3653"/>
    <cellStyle name="Normal 11 4 8 2" xfId="3654"/>
    <cellStyle name="Normal 11 4 8 2 2" xfId="3655"/>
    <cellStyle name="Normal 11 4 8 3" xfId="3656"/>
    <cellStyle name="Normal 11 4 9" xfId="3657"/>
    <cellStyle name="Normal 11 4 9 2" xfId="3658"/>
    <cellStyle name="Normal 11 4 9 2 2" xfId="3659"/>
    <cellStyle name="Normal 11 4 9 3" xfId="3660"/>
    <cellStyle name="Normal 11 5" xfId="3661"/>
    <cellStyle name="Normal 11 5 2" xfId="3662"/>
    <cellStyle name="Normal 11 5 2 2" xfId="3663"/>
    <cellStyle name="Normal 11 5 2 3" xfId="3664"/>
    <cellStyle name="Normal 11 5 2 3 2" xfId="3665"/>
    <cellStyle name="Normal 11 5 2 3 2 2" xfId="3666"/>
    <cellStyle name="Normal 11 5 2 3 3" xfId="3667"/>
    <cellStyle name="Normal 11 5 2 4" xfId="3668"/>
    <cellStyle name="Normal 11 5 2 4 2" xfId="3669"/>
    <cellStyle name="Normal 11 5 2 4 2 2" xfId="3670"/>
    <cellStyle name="Normal 11 5 2 4 3" xfId="3671"/>
    <cellStyle name="Normal 11 5 2 5" xfId="3672"/>
    <cellStyle name="Normal 11 5 2 5 2" xfId="3673"/>
    <cellStyle name="Normal 11 5 2 6" xfId="3674"/>
    <cellStyle name="Normal 11 5 3" xfId="3675"/>
    <cellStyle name="Normal 11 5 3 2" xfId="3676"/>
    <cellStyle name="Normal 11 5 3 2 2" xfId="3677"/>
    <cellStyle name="Normal 11 5 3 2 2 2" xfId="3678"/>
    <cellStyle name="Normal 11 5 3 2 3" xfId="3679"/>
    <cellStyle name="Normal 11 5 3 3" xfId="3680"/>
    <cellStyle name="Normal 11 5 3 3 2" xfId="3681"/>
    <cellStyle name="Normal 11 5 3 3 2 2" xfId="3682"/>
    <cellStyle name="Normal 11 5 3 3 3" xfId="3683"/>
    <cellStyle name="Normal 11 5 3 4" xfId="3684"/>
    <cellStyle name="Normal 11 5 3 4 2" xfId="3685"/>
    <cellStyle name="Normal 11 5 3 5" xfId="3686"/>
    <cellStyle name="Normal 11 5 4" xfId="3687"/>
    <cellStyle name="Normal 11 5 4 2" xfId="3688"/>
    <cellStyle name="Normal 11 5 4 2 2" xfId="3689"/>
    <cellStyle name="Normal 11 5 4 2 2 2" xfId="3690"/>
    <cellStyle name="Normal 11 5 4 2 3" xfId="3691"/>
    <cellStyle name="Normal 11 5 4 3" xfId="3692"/>
    <cellStyle name="Normal 11 5 4 3 2" xfId="3693"/>
    <cellStyle name="Normal 11 5 4 3 2 2" xfId="3694"/>
    <cellStyle name="Normal 11 5 4 3 3" xfId="3695"/>
    <cellStyle name="Normal 11 5 4 4" xfId="3696"/>
    <cellStyle name="Normal 11 5 4 4 2" xfId="3697"/>
    <cellStyle name="Normal 11 5 4 5" xfId="3698"/>
    <cellStyle name="Normal 11 5 5" xfId="3699"/>
    <cellStyle name="Normal 11 5 5 2" xfId="3700"/>
    <cellStyle name="Normal 11 5 5 2 2" xfId="3701"/>
    <cellStyle name="Normal 11 5 5 3" xfId="3702"/>
    <cellStyle name="Normal 11 5 6" xfId="3703"/>
    <cellStyle name="Normal 11 5 6 2" xfId="3704"/>
    <cellStyle name="Normal 11 5 6 2 2" xfId="3705"/>
    <cellStyle name="Normal 11 5 6 3" xfId="3706"/>
    <cellStyle name="Normal 11 5 7" xfId="3707"/>
    <cellStyle name="Normal 11 5 7 2" xfId="3708"/>
    <cellStyle name="Normal 11 5 8" xfId="3709"/>
    <cellStyle name="Normal 11 6" xfId="3710"/>
    <cellStyle name="Normal 11 6 2" xfId="3711"/>
    <cellStyle name="Normal 11 6 3" xfId="3712"/>
    <cellStyle name="Normal 11 6 3 2" xfId="3713"/>
    <cellStyle name="Normal 11 6 3 2 2" xfId="3714"/>
    <cellStyle name="Normal 11 6 3 3" xfId="3715"/>
    <cellStyle name="Normal 11 6 4" xfId="3716"/>
    <cellStyle name="Normal 11 6 4 2" xfId="3717"/>
    <cellStyle name="Normal 11 6 4 2 2" xfId="3718"/>
    <cellStyle name="Normal 11 6 4 3" xfId="3719"/>
    <cellStyle name="Normal 11 6 5" xfId="3720"/>
    <cellStyle name="Normal 11 6 5 2" xfId="3721"/>
    <cellStyle name="Normal 11 6 6" xfId="3722"/>
    <cellStyle name="Normal 11 7" xfId="3723"/>
    <cellStyle name="Normal 11 7 2" xfId="3724"/>
    <cellStyle name="Normal 11 7 3" xfId="3725"/>
    <cellStyle name="Normal 11 7 3 2" xfId="3726"/>
    <cellStyle name="Normal 11 7 3 2 2" xfId="3727"/>
    <cellStyle name="Normal 11 7 3 3" xfId="3728"/>
    <cellStyle name="Normal 11 7 4" xfId="3729"/>
    <cellStyle name="Normal 11 7 4 2" xfId="3730"/>
    <cellStyle name="Normal 11 7 4 2 2" xfId="3731"/>
    <cellStyle name="Normal 11 7 4 3" xfId="3732"/>
    <cellStyle name="Normal 11 7 5" xfId="3733"/>
    <cellStyle name="Normal 11 7 5 2" xfId="3734"/>
    <cellStyle name="Normal 11 7 6" xfId="3735"/>
    <cellStyle name="Normal 11 8" xfId="3736"/>
    <cellStyle name="Normal 11 9" xfId="3737"/>
    <cellStyle name="Normal 110" xfId="18302"/>
    <cellStyle name="Normal 111" xfId="3738"/>
    <cellStyle name="Normal 111 2" xfId="3739"/>
    <cellStyle name="Normal 111 3" xfId="3740"/>
    <cellStyle name="Normal 112" xfId="3741"/>
    <cellStyle name="Normal 112 2" xfId="3742"/>
    <cellStyle name="Normal 112 3" xfId="3743"/>
    <cellStyle name="Normal 113" xfId="3744"/>
    <cellStyle name="Normal 113 2" xfId="3745"/>
    <cellStyle name="Normal 113 3" xfId="3746"/>
    <cellStyle name="Normal 114" xfId="3747"/>
    <cellStyle name="Normal 114 2" xfId="3748"/>
    <cellStyle name="Normal 114 3" xfId="3749"/>
    <cellStyle name="Normal 115" xfId="3750"/>
    <cellStyle name="Normal 115 2" xfId="3751"/>
    <cellStyle name="Normal 115 3" xfId="3752"/>
    <cellStyle name="Normal 116" xfId="3753"/>
    <cellStyle name="Normal 116 2" xfId="3754"/>
    <cellStyle name="Normal 117" xfId="3755"/>
    <cellStyle name="Normal 117 2" xfId="3756"/>
    <cellStyle name="Normal 118" xfId="3757"/>
    <cellStyle name="Normal 118 2" xfId="3758"/>
    <cellStyle name="Normal 118 2 2" xfId="3759"/>
    <cellStyle name="Normal 118 2 2 2" xfId="3760"/>
    <cellStyle name="Normal 118 2 3" xfId="3761"/>
    <cellStyle name="Normal 118 3" xfId="3762"/>
    <cellStyle name="Normal 118 3 2" xfId="3763"/>
    <cellStyle name="Normal 118 3 2 2" xfId="3764"/>
    <cellStyle name="Normal 118 3 3" xfId="3765"/>
    <cellStyle name="Normal 118 4" xfId="3766"/>
    <cellStyle name="Normal 119" xfId="3767"/>
    <cellStyle name="Normal 119 2" xfId="3768"/>
    <cellStyle name="Normal 119 2 2" xfId="3769"/>
    <cellStyle name="Normal 119 2 2 2" xfId="3770"/>
    <cellStyle name="Normal 119 2 3" xfId="3771"/>
    <cellStyle name="Normal 119 3" xfId="3772"/>
    <cellStyle name="Normal 119 3 2" xfId="3773"/>
    <cellStyle name="Normal 119 3 2 2" xfId="3774"/>
    <cellStyle name="Normal 119 3 3" xfId="3775"/>
    <cellStyle name="Normal 119 4" xfId="3776"/>
    <cellStyle name="Normal 12" xfId="3777"/>
    <cellStyle name="Normal 12 10" xfId="3778"/>
    <cellStyle name="Normal 12 11" xfId="3779"/>
    <cellStyle name="Normal 12 12" xfId="3780"/>
    <cellStyle name="Normal 12 13" xfId="3781"/>
    <cellStyle name="Normal 12 14" xfId="3782"/>
    <cellStyle name="Normal 12 15" xfId="3783"/>
    <cellStyle name="Normal 12 16" xfId="3784"/>
    <cellStyle name="Normal 12 17" xfId="3785"/>
    <cellStyle name="Normal 12 18" xfId="3786"/>
    <cellStyle name="Normal 12 18 2" xfId="3787"/>
    <cellStyle name="Normal 12 18 2 2" xfId="3788"/>
    <cellStyle name="Normal 12 18 2 2 2" xfId="3789"/>
    <cellStyle name="Normal 12 18 2 3" xfId="3790"/>
    <cellStyle name="Normal 12 18 3" xfId="3791"/>
    <cellStyle name="Normal 12 18 3 2" xfId="3792"/>
    <cellStyle name="Normal 12 18 3 2 2" xfId="3793"/>
    <cellStyle name="Normal 12 18 3 3" xfId="3794"/>
    <cellStyle name="Normal 12 18 4" xfId="3795"/>
    <cellStyle name="Normal 12 18 4 2" xfId="3796"/>
    <cellStyle name="Normal 12 18 5" xfId="3797"/>
    <cellStyle name="Normal 12 19" xfId="3798"/>
    <cellStyle name="Normal 12 2" xfId="3799"/>
    <cellStyle name="Normal 12 2 10" xfId="3800"/>
    <cellStyle name="Normal 12 2 10 2" xfId="3801"/>
    <cellStyle name="Normal 12 2 11" xfId="3802"/>
    <cellStyle name="Normal 12 2 2" xfId="3803"/>
    <cellStyle name="Normal 12 2 2 2" xfId="3804"/>
    <cellStyle name="Normal 12 2 2 2 2" xfId="3805"/>
    <cellStyle name="Normal 12 2 2 2 2 2" xfId="3806"/>
    <cellStyle name="Normal 12 2 2 2 2 2 2" xfId="3807"/>
    <cellStyle name="Normal 12 2 2 2 2 3" xfId="3808"/>
    <cellStyle name="Normal 12 2 2 2 3" xfId="3809"/>
    <cellStyle name="Normal 12 2 2 2 3 2" xfId="3810"/>
    <cellStyle name="Normal 12 2 2 2 3 2 2" xfId="3811"/>
    <cellStyle name="Normal 12 2 2 2 3 3" xfId="3812"/>
    <cellStyle name="Normal 12 2 2 2 4" xfId="3813"/>
    <cellStyle name="Normal 12 2 2 2 4 2" xfId="3814"/>
    <cellStyle name="Normal 12 2 2 2 5" xfId="3815"/>
    <cellStyle name="Normal 12 2 2 3" xfId="3816"/>
    <cellStyle name="Normal 12 2 2 3 2" xfId="3817"/>
    <cellStyle name="Normal 12 2 2 3 2 2" xfId="3818"/>
    <cellStyle name="Normal 12 2 2 3 2 2 2" xfId="3819"/>
    <cellStyle name="Normal 12 2 2 3 2 3" xfId="3820"/>
    <cellStyle name="Normal 12 2 2 3 3" xfId="3821"/>
    <cellStyle name="Normal 12 2 2 3 3 2" xfId="3822"/>
    <cellStyle name="Normal 12 2 2 3 3 2 2" xfId="3823"/>
    <cellStyle name="Normal 12 2 2 3 3 3" xfId="3824"/>
    <cellStyle name="Normal 12 2 2 3 4" xfId="3825"/>
    <cellStyle name="Normal 12 2 2 3 4 2" xfId="3826"/>
    <cellStyle name="Normal 12 2 2 3 5" xfId="3827"/>
    <cellStyle name="Normal 12 2 2 4" xfId="3828"/>
    <cellStyle name="Normal 12 2 2 4 2" xfId="3829"/>
    <cellStyle name="Normal 12 2 2 4 2 2" xfId="3830"/>
    <cellStyle name="Normal 12 2 2 4 2 2 2" xfId="3831"/>
    <cellStyle name="Normal 12 2 2 4 2 3" xfId="3832"/>
    <cellStyle name="Normal 12 2 2 4 3" xfId="3833"/>
    <cellStyle name="Normal 12 2 2 4 3 2" xfId="3834"/>
    <cellStyle name="Normal 12 2 2 4 3 2 2" xfId="3835"/>
    <cellStyle name="Normal 12 2 2 4 3 3" xfId="3836"/>
    <cellStyle name="Normal 12 2 2 4 4" xfId="3837"/>
    <cellStyle name="Normal 12 2 2 4 4 2" xfId="3838"/>
    <cellStyle name="Normal 12 2 2 4 5" xfId="3839"/>
    <cellStyle name="Normal 12 2 2 5" xfId="3840"/>
    <cellStyle name="Normal 12 2 2 5 2" xfId="3841"/>
    <cellStyle name="Normal 12 2 2 5 2 2" xfId="3842"/>
    <cellStyle name="Normal 12 2 2 5 3" xfId="3843"/>
    <cellStyle name="Normal 12 2 2 6" xfId="3844"/>
    <cellStyle name="Normal 12 2 2 6 2" xfId="3845"/>
    <cellStyle name="Normal 12 2 2 6 2 2" xfId="3846"/>
    <cellStyle name="Normal 12 2 2 6 3" xfId="3847"/>
    <cellStyle name="Normal 12 2 2 7" xfId="3848"/>
    <cellStyle name="Normal 12 2 2 7 2" xfId="3849"/>
    <cellStyle name="Normal 12 2 2 8" xfId="3850"/>
    <cellStyle name="Normal 12 2 3" xfId="3851"/>
    <cellStyle name="Normal 12 2 3 2" xfId="3852"/>
    <cellStyle name="Normal 12 2 3 3" xfId="3853"/>
    <cellStyle name="Normal 12 2 3 3 2" xfId="3854"/>
    <cellStyle name="Normal 12 2 3 3 2 2" xfId="3855"/>
    <cellStyle name="Normal 12 2 3 3 3" xfId="3856"/>
    <cellStyle name="Normal 12 2 3 4" xfId="3857"/>
    <cellStyle name="Normal 12 2 3 4 2" xfId="3858"/>
    <cellStyle name="Normal 12 2 3 4 2 2" xfId="3859"/>
    <cellStyle name="Normal 12 2 3 4 3" xfId="3860"/>
    <cellStyle name="Normal 12 2 3 5" xfId="3861"/>
    <cellStyle name="Normal 12 2 3 5 2" xfId="3862"/>
    <cellStyle name="Normal 12 2 3 6" xfId="3863"/>
    <cellStyle name="Normal 12 2 4" xfId="3864"/>
    <cellStyle name="Normal 12 2 4 2" xfId="3865"/>
    <cellStyle name="Normal 12 2 4 2 2" xfId="3866"/>
    <cellStyle name="Normal 12 2 4 2 2 2" xfId="3867"/>
    <cellStyle name="Normal 12 2 4 2 3" xfId="3868"/>
    <cellStyle name="Normal 12 2 4 3" xfId="3869"/>
    <cellStyle name="Normal 12 2 4 3 2" xfId="3870"/>
    <cellStyle name="Normal 12 2 4 3 2 2" xfId="3871"/>
    <cellStyle name="Normal 12 2 4 3 3" xfId="3872"/>
    <cellStyle name="Normal 12 2 4 4" xfId="3873"/>
    <cellStyle name="Normal 12 2 4 4 2" xfId="3874"/>
    <cellStyle name="Normal 12 2 4 5" xfId="3875"/>
    <cellStyle name="Normal 12 2 5" xfId="3876"/>
    <cellStyle name="Normal 12 2 5 2" xfId="3877"/>
    <cellStyle name="Normal 12 2 5 2 2" xfId="3878"/>
    <cellStyle name="Normal 12 2 5 2 2 2" xfId="3879"/>
    <cellStyle name="Normal 12 2 5 2 3" xfId="3880"/>
    <cellStyle name="Normal 12 2 5 3" xfId="3881"/>
    <cellStyle name="Normal 12 2 5 3 2" xfId="3882"/>
    <cellStyle name="Normal 12 2 5 3 2 2" xfId="3883"/>
    <cellStyle name="Normal 12 2 5 3 3" xfId="3884"/>
    <cellStyle name="Normal 12 2 5 4" xfId="3885"/>
    <cellStyle name="Normal 12 2 5 4 2" xfId="3886"/>
    <cellStyle name="Normal 12 2 5 5" xfId="3887"/>
    <cellStyle name="Normal 12 2 6" xfId="3888"/>
    <cellStyle name="Normal 12 2 6 2" xfId="3889"/>
    <cellStyle name="Normal 12 2 6 2 2" xfId="3890"/>
    <cellStyle name="Normal 12 2 6 3" xfId="3891"/>
    <cellStyle name="Normal 12 2 7" xfId="3892"/>
    <cellStyle name="Normal 12 2 7 2" xfId="3893"/>
    <cellStyle name="Normal 12 2 7 2 2" xfId="3894"/>
    <cellStyle name="Normal 12 2 7 3" xfId="3895"/>
    <cellStyle name="Normal 12 2 8" xfId="3896"/>
    <cellStyle name="Normal 12 2 8 2" xfId="3897"/>
    <cellStyle name="Normal 12 2 8 2 2" xfId="3898"/>
    <cellStyle name="Normal 12 2 8 3" xfId="3899"/>
    <cellStyle name="Normal 12 2 9" xfId="3900"/>
    <cellStyle name="Normal 12 2 9 2" xfId="3901"/>
    <cellStyle name="Normal 12 2 9 2 2" xfId="3902"/>
    <cellStyle name="Normal 12 2 9 3" xfId="3903"/>
    <cellStyle name="Normal 12 20" xfId="3904"/>
    <cellStyle name="Normal 12 20 2" xfId="3905"/>
    <cellStyle name="Normal 12 20 2 2" xfId="3906"/>
    <cellStyle name="Normal 12 20 3" xfId="3907"/>
    <cellStyle name="Normal 12 21" xfId="3908"/>
    <cellStyle name="Normal 12 21 2" xfId="3909"/>
    <cellStyle name="Normal 12 21 2 2" xfId="3910"/>
    <cellStyle name="Normal 12 21 3" xfId="3911"/>
    <cellStyle name="Normal 12 22" xfId="3912"/>
    <cellStyle name="Normal 12 22 2" xfId="3913"/>
    <cellStyle name="Normal 12 23" xfId="3914"/>
    <cellStyle name="Normal 12 3" xfId="3915"/>
    <cellStyle name="Normal 12 3 10" xfId="3916"/>
    <cellStyle name="Normal 12 3 10 2" xfId="3917"/>
    <cellStyle name="Normal 12 3 11" xfId="3918"/>
    <cellStyle name="Normal 12 3 2" xfId="3919"/>
    <cellStyle name="Normal 12 3 2 2" xfId="3920"/>
    <cellStyle name="Normal 12 3 2 2 2" xfId="3921"/>
    <cellStyle name="Normal 12 3 2 2 2 2" xfId="3922"/>
    <cellStyle name="Normal 12 3 2 2 2 2 2" xfId="3923"/>
    <cellStyle name="Normal 12 3 2 2 2 3" xfId="3924"/>
    <cellStyle name="Normal 12 3 2 2 3" xfId="3925"/>
    <cellStyle name="Normal 12 3 2 2 3 2" xfId="3926"/>
    <cellStyle name="Normal 12 3 2 2 3 2 2" xfId="3927"/>
    <cellStyle name="Normal 12 3 2 2 3 3" xfId="3928"/>
    <cellStyle name="Normal 12 3 2 2 4" xfId="3929"/>
    <cellStyle name="Normal 12 3 2 2 4 2" xfId="3930"/>
    <cellStyle name="Normal 12 3 2 2 5" xfId="3931"/>
    <cellStyle name="Normal 12 3 2 3" xfId="3932"/>
    <cellStyle name="Normal 12 3 2 3 2" xfId="3933"/>
    <cellStyle name="Normal 12 3 2 3 2 2" xfId="3934"/>
    <cellStyle name="Normal 12 3 2 3 2 2 2" xfId="3935"/>
    <cellStyle name="Normal 12 3 2 3 2 3" xfId="3936"/>
    <cellStyle name="Normal 12 3 2 3 3" xfId="3937"/>
    <cellStyle name="Normal 12 3 2 3 3 2" xfId="3938"/>
    <cellStyle name="Normal 12 3 2 3 3 2 2" xfId="3939"/>
    <cellStyle name="Normal 12 3 2 3 3 3" xfId="3940"/>
    <cellStyle name="Normal 12 3 2 3 4" xfId="3941"/>
    <cellStyle name="Normal 12 3 2 3 4 2" xfId="3942"/>
    <cellStyle name="Normal 12 3 2 3 5" xfId="3943"/>
    <cellStyle name="Normal 12 3 2 4" xfId="3944"/>
    <cellStyle name="Normal 12 3 2 4 2" xfId="3945"/>
    <cellStyle name="Normal 12 3 2 4 2 2" xfId="3946"/>
    <cellStyle name="Normal 12 3 2 4 2 2 2" xfId="3947"/>
    <cellStyle name="Normal 12 3 2 4 2 3" xfId="3948"/>
    <cellStyle name="Normal 12 3 2 4 3" xfId="3949"/>
    <cellStyle name="Normal 12 3 2 4 3 2" xfId="3950"/>
    <cellStyle name="Normal 12 3 2 4 3 2 2" xfId="3951"/>
    <cellStyle name="Normal 12 3 2 4 3 3" xfId="3952"/>
    <cellStyle name="Normal 12 3 2 4 4" xfId="3953"/>
    <cellStyle name="Normal 12 3 2 4 4 2" xfId="3954"/>
    <cellStyle name="Normal 12 3 2 4 5" xfId="3955"/>
    <cellStyle name="Normal 12 3 2 5" xfId="3956"/>
    <cellStyle name="Normal 12 3 2 5 2" xfId="3957"/>
    <cellStyle name="Normal 12 3 2 5 2 2" xfId="3958"/>
    <cellStyle name="Normal 12 3 2 5 3" xfId="3959"/>
    <cellStyle name="Normal 12 3 2 6" xfId="3960"/>
    <cellStyle name="Normal 12 3 2 6 2" xfId="3961"/>
    <cellStyle name="Normal 12 3 2 6 2 2" xfId="3962"/>
    <cellStyle name="Normal 12 3 2 6 3" xfId="3963"/>
    <cellStyle name="Normal 12 3 2 7" xfId="3964"/>
    <cellStyle name="Normal 12 3 2 7 2" xfId="3965"/>
    <cellStyle name="Normal 12 3 2 8" xfId="3966"/>
    <cellStyle name="Normal 12 3 3" xfId="3967"/>
    <cellStyle name="Normal 12 3 3 2" xfId="3968"/>
    <cellStyle name="Normal 12 3 3 3" xfId="3969"/>
    <cellStyle name="Normal 12 3 3 3 2" xfId="3970"/>
    <cellStyle name="Normal 12 3 3 3 2 2" xfId="3971"/>
    <cellStyle name="Normal 12 3 3 3 3" xfId="3972"/>
    <cellStyle name="Normal 12 3 3 4" xfId="3973"/>
    <cellStyle name="Normal 12 3 3 4 2" xfId="3974"/>
    <cellStyle name="Normal 12 3 3 4 2 2" xfId="3975"/>
    <cellStyle name="Normal 12 3 3 4 3" xfId="3976"/>
    <cellStyle name="Normal 12 3 3 5" xfId="3977"/>
    <cellStyle name="Normal 12 3 3 5 2" xfId="3978"/>
    <cellStyle name="Normal 12 3 3 6" xfId="3979"/>
    <cellStyle name="Normal 12 3 4" xfId="3980"/>
    <cellStyle name="Normal 12 3 4 2" xfId="3981"/>
    <cellStyle name="Normal 12 3 4 2 2" xfId="3982"/>
    <cellStyle name="Normal 12 3 4 2 2 2" xfId="3983"/>
    <cellStyle name="Normal 12 3 4 2 3" xfId="3984"/>
    <cellStyle name="Normal 12 3 4 3" xfId="3985"/>
    <cellStyle name="Normal 12 3 4 3 2" xfId="3986"/>
    <cellStyle name="Normal 12 3 4 3 2 2" xfId="3987"/>
    <cellStyle name="Normal 12 3 4 3 3" xfId="3988"/>
    <cellStyle name="Normal 12 3 4 4" xfId="3989"/>
    <cellStyle name="Normal 12 3 4 4 2" xfId="3990"/>
    <cellStyle name="Normal 12 3 4 5" xfId="3991"/>
    <cellStyle name="Normal 12 3 5" xfId="3992"/>
    <cellStyle name="Normal 12 3 5 2" xfId="3993"/>
    <cellStyle name="Normal 12 3 5 2 2" xfId="3994"/>
    <cellStyle name="Normal 12 3 5 2 2 2" xfId="3995"/>
    <cellStyle name="Normal 12 3 5 2 3" xfId="3996"/>
    <cellStyle name="Normal 12 3 5 3" xfId="3997"/>
    <cellStyle name="Normal 12 3 5 3 2" xfId="3998"/>
    <cellStyle name="Normal 12 3 5 3 2 2" xfId="3999"/>
    <cellStyle name="Normal 12 3 5 3 3" xfId="4000"/>
    <cellStyle name="Normal 12 3 5 4" xfId="4001"/>
    <cellStyle name="Normal 12 3 5 4 2" xfId="4002"/>
    <cellStyle name="Normal 12 3 5 5" xfId="4003"/>
    <cellStyle name="Normal 12 3 6" xfId="4004"/>
    <cellStyle name="Normal 12 3 6 2" xfId="4005"/>
    <cellStyle name="Normal 12 3 6 2 2" xfId="4006"/>
    <cellStyle name="Normal 12 3 6 3" xfId="4007"/>
    <cellStyle name="Normal 12 3 7" xfId="4008"/>
    <cellStyle name="Normal 12 3 7 2" xfId="4009"/>
    <cellStyle name="Normal 12 3 7 2 2" xfId="4010"/>
    <cellStyle name="Normal 12 3 7 3" xfId="4011"/>
    <cellStyle name="Normal 12 3 8" xfId="4012"/>
    <cellStyle name="Normal 12 3 8 2" xfId="4013"/>
    <cellStyle name="Normal 12 3 8 2 2" xfId="4014"/>
    <cellStyle name="Normal 12 3 8 3" xfId="4015"/>
    <cellStyle name="Normal 12 3 9" xfId="4016"/>
    <cellStyle name="Normal 12 3 9 2" xfId="4017"/>
    <cellStyle name="Normal 12 3 9 2 2" xfId="4018"/>
    <cellStyle name="Normal 12 3 9 3" xfId="4019"/>
    <cellStyle name="Normal 12 4" xfId="4020"/>
    <cellStyle name="Normal 12 4 2" xfId="4021"/>
    <cellStyle name="Normal 12 4 2 2" xfId="4022"/>
    <cellStyle name="Normal 12 4 2 3" xfId="4023"/>
    <cellStyle name="Normal 12 4 2 3 2" xfId="4024"/>
    <cellStyle name="Normal 12 4 2 3 2 2" xfId="4025"/>
    <cellStyle name="Normal 12 4 2 3 3" xfId="4026"/>
    <cellStyle name="Normal 12 4 2 4" xfId="4027"/>
    <cellStyle name="Normal 12 4 2 4 2" xfId="4028"/>
    <cellStyle name="Normal 12 4 2 4 2 2" xfId="4029"/>
    <cellStyle name="Normal 12 4 2 4 3" xfId="4030"/>
    <cellStyle name="Normal 12 4 2 5" xfId="4031"/>
    <cellStyle name="Normal 12 4 2 5 2" xfId="4032"/>
    <cellStyle name="Normal 12 4 2 6" xfId="4033"/>
    <cellStyle name="Normal 12 4 3" xfId="4034"/>
    <cellStyle name="Normal 12 4 3 2" xfId="4035"/>
    <cellStyle name="Normal 12 4 3 2 2" xfId="4036"/>
    <cellStyle name="Normal 12 4 3 2 2 2" xfId="4037"/>
    <cellStyle name="Normal 12 4 3 2 3" xfId="4038"/>
    <cellStyle name="Normal 12 4 3 3" xfId="4039"/>
    <cellStyle name="Normal 12 4 3 3 2" xfId="4040"/>
    <cellStyle name="Normal 12 4 3 3 2 2" xfId="4041"/>
    <cellStyle name="Normal 12 4 3 3 3" xfId="4042"/>
    <cellStyle name="Normal 12 4 3 4" xfId="4043"/>
    <cellStyle name="Normal 12 4 3 4 2" xfId="4044"/>
    <cellStyle name="Normal 12 4 3 5" xfId="4045"/>
    <cellStyle name="Normal 12 4 4" xfId="4046"/>
    <cellStyle name="Normal 12 4 4 2" xfId="4047"/>
    <cellStyle name="Normal 12 4 4 2 2" xfId="4048"/>
    <cellStyle name="Normal 12 4 4 2 2 2" xfId="4049"/>
    <cellStyle name="Normal 12 4 4 2 3" xfId="4050"/>
    <cellStyle name="Normal 12 4 4 3" xfId="4051"/>
    <cellStyle name="Normal 12 4 4 3 2" xfId="4052"/>
    <cellStyle name="Normal 12 4 4 3 2 2" xfId="4053"/>
    <cellStyle name="Normal 12 4 4 3 3" xfId="4054"/>
    <cellStyle name="Normal 12 4 4 4" xfId="4055"/>
    <cellStyle name="Normal 12 4 4 4 2" xfId="4056"/>
    <cellStyle name="Normal 12 4 4 5" xfId="4057"/>
    <cellStyle name="Normal 12 4 5" xfId="4058"/>
    <cellStyle name="Normal 12 4 5 2" xfId="4059"/>
    <cellStyle name="Normal 12 4 5 2 2" xfId="4060"/>
    <cellStyle name="Normal 12 4 5 3" xfId="4061"/>
    <cellStyle name="Normal 12 4 6" xfId="4062"/>
    <cellStyle name="Normal 12 4 6 2" xfId="4063"/>
    <cellStyle name="Normal 12 4 6 2 2" xfId="4064"/>
    <cellStyle name="Normal 12 4 6 3" xfId="4065"/>
    <cellStyle name="Normal 12 4 7" xfId="4066"/>
    <cellStyle name="Normal 12 4 7 2" xfId="4067"/>
    <cellStyle name="Normal 12 4 8" xfId="4068"/>
    <cellStyle name="Normal 12 5" xfId="4069"/>
    <cellStyle name="Normal 12 5 2" xfId="4070"/>
    <cellStyle name="Normal 12 5 3" xfId="4071"/>
    <cellStyle name="Normal 12 5 3 2" xfId="4072"/>
    <cellStyle name="Normal 12 5 3 2 2" xfId="4073"/>
    <cellStyle name="Normal 12 5 3 3" xfId="4074"/>
    <cellStyle name="Normal 12 5 4" xfId="4075"/>
    <cellStyle name="Normal 12 5 4 2" xfId="4076"/>
    <cellStyle name="Normal 12 5 4 2 2" xfId="4077"/>
    <cellStyle name="Normal 12 5 4 3" xfId="4078"/>
    <cellStyle name="Normal 12 5 5" xfId="4079"/>
    <cellStyle name="Normal 12 5 5 2" xfId="4080"/>
    <cellStyle name="Normal 12 5 6" xfId="4081"/>
    <cellStyle name="Normal 12 6" xfId="4082"/>
    <cellStyle name="Normal 12 6 2" xfId="4083"/>
    <cellStyle name="Normal 12 6 3" xfId="4084"/>
    <cellStyle name="Normal 12 6 3 2" xfId="4085"/>
    <cellStyle name="Normal 12 6 3 2 2" xfId="4086"/>
    <cellStyle name="Normal 12 6 3 3" xfId="4087"/>
    <cellStyle name="Normal 12 6 4" xfId="4088"/>
    <cellStyle name="Normal 12 6 4 2" xfId="4089"/>
    <cellStyle name="Normal 12 6 4 2 2" xfId="4090"/>
    <cellStyle name="Normal 12 6 4 3" xfId="4091"/>
    <cellStyle name="Normal 12 6 5" xfId="4092"/>
    <cellStyle name="Normal 12 6 5 2" xfId="4093"/>
    <cellStyle name="Normal 12 6 6" xfId="4094"/>
    <cellStyle name="Normal 12 7" xfId="4095"/>
    <cellStyle name="Normal 12 8" xfId="4096"/>
    <cellStyle name="Normal 12 9" xfId="4097"/>
    <cellStyle name="Normal 120" xfId="4098"/>
    <cellStyle name="Normal 120 2" xfId="4099"/>
    <cellStyle name="Normal 120 2 2" xfId="4100"/>
    <cellStyle name="Normal 120 2 2 2" xfId="4101"/>
    <cellStyle name="Normal 120 2 3" xfId="4102"/>
    <cellStyle name="Normal 120 3" xfId="4103"/>
    <cellStyle name="Normal 120 3 2" xfId="4104"/>
    <cellStyle name="Normal 120 3 2 2" xfId="4105"/>
    <cellStyle name="Normal 120 3 3" xfId="4106"/>
    <cellStyle name="Normal 120 4" xfId="4107"/>
    <cellStyle name="Normal 121" xfId="4108"/>
    <cellStyle name="Normal 121 2" xfId="4109"/>
    <cellStyle name="Normal 121 2 2" xfId="4110"/>
    <cellStyle name="Normal 121 2 2 2" xfId="4111"/>
    <cellStyle name="Normal 121 2 3" xfId="4112"/>
    <cellStyle name="Normal 121 3" xfId="4113"/>
    <cellStyle name="Normal 121 3 2" xfId="4114"/>
    <cellStyle name="Normal 121 3 2 2" xfId="4115"/>
    <cellStyle name="Normal 121 3 3" xfId="4116"/>
    <cellStyle name="Normal 121 4" xfId="4117"/>
    <cellStyle name="Normal 122" xfId="4118"/>
    <cellStyle name="Normal 122 2" xfId="4119"/>
    <cellStyle name="Normal 122 2 2" xfId="4120"/>
    <cellStyle name="Normal 122 2 2 2" xfId="4121"/>
    <cellStyle name="Normal 122 2 3" xfId="4122"/>
    <cellStyle name="Normal 122 3" xfId="4123"/>
    <cellStyle name="Normal 122 3 2" xfId="4124"/>
    <cellStyle name="Normal 122 3 2 2" xfId="4125"/>
    <cellStyle name="Normal 122 3 3" xfId="4126"/>
    <cellStyle name="Normal 123" xfId="4127"/>
    <cellStyle name="Normal 123 2" xfId="4128"/>
    <cellStyle name="Normal 123 2 2" xfId="4129"/>
    <cellStyle name="Normal 123 2 2 2" xfId="4130"/>
    <cellStyle name="Normal 123 2 3" xfId="4131"/>
    <cellStyle name="Normal 123 3" xfId="4132"/>
    <cellStyle name="Normal 123 3 2" xfId="4133"/>
    <cellStyle name="Normal 123 3 2 2" xfId="4134"/>
    <cellStyle name="Normal 123 3 3" xfId="4135"/>
    <cellStyle name="Normal 124" xfId="4136"/>
    <cellStyle name="Normal 124 2" xfId="4137"/>
    <cellStyle name="Normal 124 2 2" xfId="4138"/>
    <cellStyle name="Normal 124 2 2 2" xfId="4139"/>
    <cellStyle name="Normal 124 2 3" xfId="4140"/>
    <cellStyle name="Normal 124 3" xfId="4141"/>
    <cellStyle name="Normal 124 3 2" xfId="4142"/>
    <cellStyle name="Normal 124 3 2 2" xfId="4143"/>
    <cellStyle name="Normal 124 3 3" xfId="4144"/>
    <cellStyle name="Normal 125" xfId="4145"/>
    <cellStyle name="Normal 125 2" xfId="4146"/>
    <cellStyle name="Normal 125 2 2" xfId="4147"/>
    <cellStyle name="Normal 125 2 2 2" xfId="4148"/>
    <cellStyle name="Normal 125 2 3" xfId="4149"/>
    <cellStyle name="Normal 125 3" xfId="4150"/>
    <cellStyle name="Normal 125 3 2" xfId="4151"/>
    <cellStyle name="Normal 125 3 2 2" xfId="4152"/>
    <cellStyle name="Normal 125 3 3" xfId="4153"/>
    <cellStyle name="Normal 126" xfId="4154"/>
    <cellStyle name="Normal 126 2" xfId="4155"/>
    <cellStyle name="Normal 126 2 2" xfId="4156"/>
    <cellStyle name="Normal 126 2 2 2" xfId="4157"/>
    <cellStyle name="Normal 126 2 3" xfId="4158"/>
    <cellStyle name="Normal 126 3" xfId="4159"/>
    <cellStyle name="Normal 126 3 2" xfId="4160"/>
    <cellStyle name="Normal 126 3 2 2" xfId="4161"/>
    <cellStyle name="Normal 126 3 3" xfId="4162"/>
    <cellStyle name="Normal 127" xfId="4163"/>
    <cellStyle name="Normal 127 2" xfId="4164"/>
    <cellStyle name="Normal 127 2 2" xfId="4165"/>
    <cellStyle name="Normal 127 2 2 2" xfId="4166"/>
    <cellStyle name="Normal 127 2 3" xfId="4167"/>
    <cellStyle name="Normal 127 3" xfId="4168"/>
    <cellStyle name="Normal 127 3 2" xfId="4169"/>
    <cellStyle name="Normal 127 3 2 2" xfId="4170"/>
    <cellStyle name="Normal 127 3 3" xfId="4171"/>
    <cellStyle name="Normal 128" xfId="4172"/>
    <cellStyle name="Normal 128 2" xfId="4173"/>
    <cellStyle name="Normal 128 2 2" xfId="4174"/>
    <cellStyle name="Normal 128 2 2 2" xfId="4175"/>
    <cellStyle name="Normal 128 2 3" xfId="4176"/>
    <cellStyle name="Normal 128 3" xfId="4177"/>
    <cellStyle name="Normal 128 3 2" xfId="4178"/>
    <cellStyle name="Normal 128 3 2 2" xfId="4179"/>
    <cellStyle name="Normal 128 3 3" xfId="4180"/>
    <cellStyle name="Normal 129" xfId="4181"/>
    <cellStyle name="Normal 129 2" xfId="4182"/>
    <cellStyle name="Normal 129 2 2" xfId="4183"/>
    <cellStyle name="Normal 129 2 2 2" xfId="4184"/>
    <cellStyle name="Normal 129 2 3" xfId="4185"/>
    <cellStyle name="Normal 129 3" xfId="4186"/>
    <cellStyle name="Normal 129 3 2" xfId="4187"/>
    <cellStyle name="Normal 129 3 2 2" xfId="4188"/>
    <cellStyle name="Normal 129 3 3" xfId="4189"/>
    <cellStyle name="Normal 13" xfId="4190"/>
    <cellStyle name="Normal 13 10" xfId="4191"/>
    <cellStyle name="Normal 13 11" xfId="4192"/>
    <cellStyle name="Normal 13 12" xfId="4193"/>
    <cellStyle name="Normal 13 13" xfId="4194"/>
    <cellStyle name="Normal 13 14" xfId="4195"/>
    <cellStyle name="Normal 13 15" xfId="4196"/>
    <cellStyle name="Normal 13 16" xfId="4197"/>
    <cellStyle name="Normal 13 17" xfId="4198"/>
    <cellStyle name="Normal 13 18" xfId="4199"/>
    <cellStyle name="Normal 13 18 2" xfId="4200"/>
    <cellStyle name="Normal 13 18 2 2" xfId="4201"/>
    <cellStyle name="Normal 13 18 2 2 2" xfId="4202"/>
    <cellStyle name="Normal 13 18 2 3" xfId="4203"/>
    <cellStyle name="Normal 13 18 3" xfId="4204"/>
    <cellStyle name="Normal 13 18 3 2" xfId="4205"/>
    <cellStyle name="Normal 13 18 3 2 2" xfId="4206"/>
    <cellStyle name="Normal 13 18 3 3" xfId="4207"/>
    <cellStyle name="Normal 13 18 4" xfId="4208"/>
    <cellStyle name="Normal 13 18 4 2" xfId="4209"/>
    <cellStyle name="Normal 13 18 5" xfId="4210"/>
    <cellStyle name="Normal 13 19" xfId="4211"/>
    <cellStyle name="Normal 13 2" xfId="4212"/>
    <cellStyle name="Normal 13 2 10" xfId="4213"/>
    <cellStyle name="Normal 13 2 10 2" xfId="4214"/>
    <cellStyle name="Normal 13 2 11" xfId="4215"/>
    <cellStyle name="Normal 13 2 2" xfId="4216"/>
    <cellStyle name="Normal 13 2 2 2" xfId="4217"/>
    <cellStyle name="Normal 13 2 2 2 2" xfId="4218"/>
    <cellStyle name="Normal 13 2 2 2 2 2" xfId="4219"/>
    <cellStyle name="Normal 13 2 2 2 2 2 2" xfId="4220"/>
    <cellStyle name="Normal 13 2 2 2 2 3" xfId="4221"/>
    <cellStyle name="Normal 13 2 2 2 3" xfId="4222"/>
    <cellStyle name="Normal 13 2 2 2 3 2" xfId="4223"/>
    <cellStyle name="Normal 13 2 2 2 3 2 2" xfId="4224"/>
    <cellStyle name="Normal 13 2 2 2 3 3" xfId="4225"/>
    <cellStyle name="Normal 13 2 2 2 4" xfId="4226"/>
    <cellStyle name="Normal 13 2 2 2 4 2" xfId="4227"/>
    <cellStyle name="Normal 13 2 2 2 5" xfId="4228"/>
    <cellStyle name="Normal 13 2 2 3" xfId="4229"/>
    <cellStyle name="Normal 13 2 2 3 2" xfId="4230"/>
    <cellStyle name="Normal 13 2 2 3 2 2" xfId="4231"/>
    <cellStyle name="Normal 13 2 2 3 2 2 2" xfId="4232"/>
    <cellStyle name="Normal 13 2 2 3 2 3" xfId="4233"/>
    <cellStyle name="Normal 13 2 2 3 3" xfId="4234"/>
    <cellStyle name="Normal 13 2 2 3 3 2" xfId="4235"/>
    <cellStyle name="Normal 13 2 2 3 3 2 2" xfId="4236"/>
    <cellStyle name="Normal 13 2 2 3 3 3" xfId="4237"/>
    <cellStyle name="Normal 13 2 2 3 4" xfId="4238"/>
    <cellStyle name="Normal 13 2 2 3 4 2" xfId="4239"/>
    <cellStyle name="Normal 13 2 2 3 5" xfId="4240"/>
    <cellStyle name="Normal 13 2 2 4" xfId="4241"/>
    <cellStyle name="Normal 13 2 2 4 2" xfId="4242"/>
    <cellStyle name="Normal 13 2 2 4 2 2" xfId="4243"/>
    <cellStyle name="Normal 13 2 2 4 2 2 2" xfId="4244"/>
    <cellStyle name="Normal 13 2 2 4 2 3" xfId="4245"/>
    <cellStyle name="Normal 13 2 2 4 3" xfId="4246"/>
    <cellStyle name="Normal 13 2 2 4 3 2" xfId="4247"/>
    <cellStyle name="Normal 13 2 2 4 3 2 2" xfId="4248"/>
    <cellStyle name="Normal 13 2 2 4 3 3" xfId="4249"/>
    <cellStyle name="Normal 13 2 2 4 4" xfId="4250"/>
    <cellStyle name="Normal 13 2 2 4 4 2" xfId="4251"/>
    <cellStyle name="Normal 13 2 2 4 5" xfId="4252"/>
    <cellStyle name="Normal 13 2 2 5" xfId="4253"/>
    <cellStyle name="Normal 13 2 2 5 2" xfId="4254"/>
    <cellStyle name="Normal 13 2 2 5 2 2" xfId="4255"/>
    <cellStyle name="Normal 13 2 2 5 3" xfId="4256"/>
    <cellStyle name="Normal 13 2 2 6" xfId="4257"/>
    <cellStyle name="Normal 13 2 2 6 2" xfId="4258"/>
    <cellStyle name="Normal 13 2 2 6 2 2" xfId="4259"/>
    <cellStyle name="Normal 13 2 2 6 3" xfId="4260"/>
    <cellStyle name="Normal 13 2 2 7" xfId="4261"/>
    <cellStyle name="Normal 13 2 2 7 2" xfId="4262"/>
    <cellStyle name="Normal 13 2 2 8" xfId="4263"/>
    <cellStyle name="Normal 13 2 3" xfId="4264"/>
    <cellStyle name="Normal 13 2 3 2" xfId="4265"/>
    <cellStyle name="Normal 13 2 3 3" xfId="4266"/>
    <cellStyle name="Normal 13 2 3 3 2" xfId="4267"/>
    <cellStyle name="Normal 13 2 3 3 2 2" xfId="4268"/>
    <cellStyle name="Normal 13 2 3 3 3" xfId="4269"/>
    <cellStyle name="Normal 13 2 3 4" xfId="4270"/>
    <cellStyle name="Normal 13 2 3 4 2" xfId="4271"/>
    <cellStyle name="Normal 13 2 3 4 2 2" xfId="4272"/>
    <cellStyle name="Normal 13 2 3 4 3" xfId="4273"/>
    <cellStyle name="Normal 13 2 3 5" xfId="4274"/>
    <cellStyle name="Normal 13 2 3 5 2" xfId="4275"/>
    <cellStyle name="Normal 13 2 3 6" xfId="4276"/>
    <cellStyle name="Normal 13 2 4" xfId="4277"/>
    <cellStyle name="Normal 13 2 4 2" xfId="4278"/>
    <cellStyle name="Normal 13 2 4 2 2" xfId="4279"/>
    <cellStyle name="Normal 13 2 4 2 2 2" xfId="4280"/>
    <cellStyle name="Normal 13 2 4 2 3" xfId="4281"/>
    <cellStyle name="Normal 13 2 4 3" xfId="4282"/>
    <cellStyle name="Normal 13 2 4 3 2" xfId="4283"/>
    <cellStyle name="Normal 13 2 4 3 2 2" xfId="4284"/>
    <cellStyle name="Normal 13 2 4 3 3" xfId="4285"/>
    <cellStyle name="Normal 13 2 4 4" xfId="4286"/>
    <cellStyle name="Normal 13 2 4 4 2" xfId="4287"/>
    <cellStyle name="Normal 13 2 4 5" xfId="4288"/>
    <cellStyle name="Normal 13 2 5" xfId="4289"/>
    <cellStyle name="Normal 13 2 5 2" xfId="4290"/>
    <cellStyle name="Normal 13 2 5 2 2" xfId="4291"/>
    <cellStyle name="Normal 13 2 5 2 2 2" xfId="4292"/>
    <cellStyle name="Normal 13 2 5 2 3" xfId="4293"/>
    <cellStyle name="Normal 13 2 5 3" xfId="4294"/>
    <cellStyle name="Normal 13 2 5 3 2" xfId="4295"/>
    <cellStyle name="Normal 13 2 5 3 2 2" xfId="4296"/>
    <cellStyle name="Normal 13 2 5 3 3" xfId="4297"/>
    <cellStyle name="Normal 13 2 5 4" xfId="4298"/>
    <cellStyle name="Normal 13 2 5 4 2" xfId="4299"/>
    <cellStyle name="Normal 13 2 5 5" xfId="4300"/>
    <cellStyle name="Normal 13 2 6" xfId="4301"/>
    <cellStyle name="Normal 13 2 6 2" xfId="4302"/>
    <cellStyle name="Normal 13 2 6 2 2" xfId="4303"/>
    <cellStyle name="Normal 13 2 6 3" xfId="4304"/>
    <cellStyle name="Normal 13 2 7" xfId="4305"/>
    <cellStyle name="Normal 13 2 7 2" xfId="4306"/>
    <cellStyle name="Normal 13 2 7 2 2" xfId="4307"/>
    <cellStyle name="Normal 13 2 7 3" xfId="4308"/>
    <cellStyle name="Normal 13 2 8" xfId="4309"/>
    <cellStyle name="Normal 13 2 8 2" xfId="4310"/>
    <cellStyle name="Normal 13 2 8 2 2" xfId="4311"/>
    <cellStyle name="Normal 13 2 8 3" xfId="4312"/>
    <cellStyle name="Normal 13 2 9" xfId="4313"/>
    <cellStyle name="Normal 13 2 9 2" xfId="4314"/>
    <cellStyle name="Normal 13 2 9 2 2" xfId="4315"/>
    <cellStyle name="Normal 13 2 9 3" xfId="4316"/>
    <cellStyle name="Normal 13 20" xfId="4317"/>
    <cellStyle name="Normal 13 20 2" xfId="4318"/>
    <cellStyle name="Normal 13 20 2 2" xfId="4319"/>
    <cellStyle name="Normal 13 20 3" xfId="4320"/>
    <cellStyle name="Normal 13 21" xfId="4321"/>
    <cellStyle name="Normal 13 21 2" xfId="4322"/>
    <cellStyle name="Normal 13 21 2 2" xfId="4323"/>
    <cellStyle name="Normal 13 21 3" xfId="4324"/>
    <cellStyle name="Normal 13 22" xfId="4325"/>
    <cellStyle name="Normal 13 22 2" xfId="4326"/>
    <cellStyle name="Normal 13 23" xfId="4327"/>
    <cellStyle name="Normal 13 3" xfId="4328"/>
    <cellStyle name="Normal 13 3 10" xfId="4329"/>
    <cellStyle name="Normal 13 3 10 2" xfId="4330"/>
    <cellStyle name="Normal 13 3 11" xfId="4331"/>
    <cellStyle name="Normal 13 3 2" xfId="4332"/>
    <cellStyle name="Normal 13 3 2 2" xfId="4333"/>
    <cellStyle name="Normal 13 3 2 2 2" xfId="4334"/>
    <cellStyle name="Normal 13 3 2 2 2 2" xfId="4335"/>
    <cellStyle name="Normal 13 3 2 2 2 2 2" xfId="4336"/>
    <cellStyle name="Normal 13 3 2 2 2 3" xfId="4337"/>
    <cellStyle name="Normal 13 3 2 2 3" xfId="4338"/>
    <cellStyle name="Normal 13 3 2 2 3 2" xfId="4339"/>
    <cellStyle name="Normal 13 3 2 2 3 2 2" xfId="4340"/>
    <cellStyle name="Normal 13 3 2 2 3 3" xfId="4341"/>
    <cellStyle name="Normal 13 3 2 2 4" xfId="4342"/>
    <cellStyle name="Normal 13 3 2 2 4 2" xfId="4343"/>
    <cellStyle name="Normal 13 3 2 2 5" xfId="4344"/>
    <cellStyle name="Normal 13 3 2 3" xfId="4345"/>
    <cellStyle name="Normal 13 3 2 3 2" xfId="4346"/>
    <cellStyle name="Normal 13 3 2 3 2 2" xfId="4347"/>
    <cellStyle name="Normal 13 3 2 3 2 2 2" xfId="4348"/>
    <cellStyle name="Normal 13 3 2 3 2 3" xfId="4349"/>
    <cellStyle name="Normal 13 3 2 3 3" xfId="4350"/>
    <cellStyle name="Normal 13 3 2 3 3 2" xfId="4351"/>
    <cellStyle name="Normal 13 3 2 3 3 2 2" xfId="4352"/>
    <cellStyle name="Normal 13 3 2 3 3 3" xfId="4353"/>
    <cellStyle name="Normal 13 3 2 3 4" xfId="4354"/>
    <cellStyle name="Normal 13 3 2 3 4 2" xfId="4355"/>
    <cellStyle name="Normal 13 3 2 3 5" xfId="4356"/>
    <cellStyle name="Normal 13 3 2 4" xfId="4357"/>
    <cellStyle name="Normal 13 3 2 4 2" xfId="4358"/>
    <cellStyle name="Normal 13 3 2 4 2 2" xfId="4359"/>
    <cellStyle name="Normal 13 3 2 4 2 2 2" xfId="4360"/>
    <cellStyle name="Normal 13 3 2 4 2 3" xfId="4361"/>
    <cellStyle name="Normal 13 3 2 4 3" xfId="4362"/>
    <cellStyle name="Normal 13 3 2 4 3 2" xfId="4363"/>
    <cellStyle name="Normal 13 3 2 4 3 2 2" xfId="4364"/>
    <cellStyle name="Normal 13 3 2 4 3 3" xfId="4365"/>
    <cellStyle name="Normal 13 3 2 4 4" xfId="4366"/>
    <cellStyle name="Normal 13 3 2 4 4 2" xfId="4367"/>
    <cellStyle name="Normal 13 3 2 4 5" xfId="4368"/>
    <cellStyle name="Normal 13 3 2 5" xfId="4369"/>
    <cellStyle name="Normal 13 3 2 5 2" xfId="4370"/>
    <cellStyle name="Normal 13 3 2 5 2 2" xfId="4371"/>
    <cellStyle name="Normal 13 3 2 5 3" xfId="4372"/>
    <cellStyle name="Normal 13 3 2 6" xfId="4373"/>
    <cellStyle name="Normal 13 3 2 6 2" xfId="4374"/>
    <cellStyle name="Normal 13 3 2 6 2 2" xfId="4375"/>
    <cellStyle name="Normal 13 3 2 6 3" xfId="4376"/>
    <cellStyle name="Normal 13 3 2 7" xfId="4377"/>
    <cellStyle name="Normal 13 3 2 7 2" xfId="4378"/>
    <cellStyle name="Normal 13 3 2 8" xfId="4379"/>
    <cellStyle name="Normal 13 3 3" xfId="4380"/>
    <cellStyle name="Normal 13 3 3 2" xfId="4381"/>
    <cellStyle name="Normal 13 3 3 3" xfId="4382"/>
    <cellStyle name="Normal 13 3 3 3 2" xfId="4383"/>
    <cellStyle name="Normal 13 3 3 3 2 2" xfId="4384"/>
    <cellStyle name="Normal 13 3 3 3 3" xfId="4385"/>
    <cellStyle name="Normal 13 3 3 4" xfId="4386"/>
    <cellStyle name="Normal 13 3 3 4 2" xfId="4387"/>
    <cellStyle name="Normal 13 3 3 4 2 2" xfId="4388"/>
    <cellStyle name="Normal 13 3 3 4 3" xfId="4389"/>
    <cellStyle name="Normal 13 3 3 5" xfId="4390"/>
    <cellStyle name="Normal 13 3 3 5 2" xfId="4391"/>
    <cellStyle name="Normal 13 3 3 6" xfId="4392"/>
    <cellStyle name="Normal 13 3 4" xfId="4393"/>
    <cellStyle name="Normal 13 3 4 2" xfId="4394"/>
    <cellStyle name="Normal 13 3 4 2 2" xfId="4395"/>
    <cellStyle name="Normal 13 3 4 2 2 2" xfId="4396"/>
    <cellStyle name="Normal 13 3 4 2 3" xfId="4397"/>
    <cellStyle name="Normal 13 3 4 3" xfId="4398"/>
    <cellStyle name="Normal 13 3 4 3 2" xfId="4399"/>
    <cellStyle name="Normal 13 3 4 3 2 2" xfId="4400"/>
    <cellStyle name="Normal 13 3 4 3 3" xfId="4401"/>
    <cellStyle name="Normal 13 3 4 4" xfId="4402"/>
    <cellStyle name="Normal 13 3 4 4 2" xfId="4403"/>
    <cellStyle name="Normal 13 3 4 5" xfId="4404"/>
    <cellStyle name="Normal 13 3 5" xfId="4405"/>
    <cellStyle name="Normal 13 3 5 2" xfId="4406"/>
    <cellStyle name="Normal 13 3 5 2 2" xfId="4407"/>
    <cellStyle name="Normal 13 3 5 2 2 2" xfId="4408"/>
    <cellStyle name="Normal 13 3 5 2 3" xfId="4409"/>
    <cellStyle name="Normal 13 3 5 3" xfId="4410"/>
    <cellStyle name="Normal 13 3 5 3 2" xfId="4411"/>
    <cellStyle name="Normal 13 3 5 3 2 2" xfId="4412"/>
    <cellStyle name="Normal 13 3 5 3 3" xfId="4413"/>
    <cellStyle name="Normal 13 3 5 4" xfId="4414"/>
    <cellStyle name="Normal 13 3 5 4 2" xfId="4415"/>
    <cellStyle name="Normal 13 3 5 5" xfId="4416"/>
    <cellStyle name="Normal 13 3 6" xfId="4417"/>
    <cellStyle name="Normal 13 3 6 2" xfId="4418"/>
    <cellStyle name="Normal 13 3 6 2 2" xfId="4419"/>
    <cellStyle name="Normal 13 3 6 3" xfId="4420"/>
    <cellStyle name="Normal 13 3 7" xfId="4421"/>
    <cellStyle name="Normal 13 3 7 2" xfId="4422"/>
    <cellStyle name="Normal 13 3 7 2 2" xfId="4423"/>
    <cellStyle name="Normal 13 3 7 3" xfId="4424"/>
    <cellStyle name="Normal 13 3 8" xfId="4425"/>
    <cellStyle name="Normal 13 3 8 2" xfId="4426"/>
    <cellStyle name="Normal 13 3 8 2 2" xfId="4427"/>
    <cellStyle name="Normal 13 3 8 3" xfId="4428"/>
    <cellStyle name="Normal 13 3 9" xfId="4429"/>
    <cellStyle name="Normal 13 3 9 2" xfId="4430"/>
    <cellStyle name="Normal 13 3 9 2 2" xfId="4431"/>
    <cellStyle name="Normal 13 3 9 3" xfId="4432"/>
    <cellStyle name="Normal 13 4" xfId="4433"/>
    <cellStyle name="Normal 13 4 2" xfId="4434"/>
    <cellStyle name="Normal 13 4 2 2" xfId="4435"/>
    <cellStyle name="Normal 13 4 2 3" xfId="4436"/>
    <cellStyle name="Normal 13 4 2 3 2" xfId="4437"/>
    <cellStyle name="Normal 13 4 2 3 2 2" xfId="4438"/>
    <cellStyle name="Normal 13 4 2 3 3" xfId="4439"/>
    <cellStyle name="Normal 13 4 2 4" xfId="4440"/>
    <cellStyle name="Normal 13 4 2 4 2" xfId="4441"/>
    <cellStyle name="Normal 13 4 2 4 2 2" xfId="4442"/>
    <cellStyle name="Normal 13 4 2 4 3" xfId="4443"/>
    <cellStyle name="Normal 13 4 2 5" xfId="4444"/>
    <cellStyle name="Normal 13 4 2 5 2" xfId="4445"/>
    <cellStyle name="Normal 13 4 2 6" xfId="4446"/>
    <cellStyle name="Normal 13 4 3" xfId="4447"/>
    <cellStyle name="Normal 13 4 3 2" xfId="4448"/>
    <cellStyle name="Normal 13 4 3 2 2" xfId="4449"/>
    <cellStyle name="Normal 13 4 3 2 2 2" xfId="4450"/>
    <cellStyle name="Normal 13 4 3 2 3" xfId="4451"/>
    <cellStyle name="Normal 13 4 3 3" xfId="4452"/>
    <cellStyle name="Normal 13 4 3 3 2" xfId="4453"/>
    <cellStyle name="Normal 13 4 3 3 2 2" xfId="4454"/>
    <cellStyle name="Normal 13 4 3 3 3" xfId="4455"/>
    <cellStyle name="Normal 13 4 3 4" xfId="4456"/>
    <cellStyle name="Normal 13 4 3 4 2" xfId="4457"/>
    <cellStyle name="Normal 13 4 3 5" xfId="4458"/>
    <cellStyle name="Normal 13 4 4" xfId="4459"/>
    <cellStyle name="Normal 13 4 4 2" xfId="4460"/>
    <cellStyle name="Normal 13 4 4 2 2" xfId="4461"/>
    <cellStyle name="Normal 13 4 4 2 2 2" xfId="4462"/>
    <cellStyle name="Normal 13 4 4 2 3" xfId="4463"/>
    <cellStyle name="Normal 13 4 4 3" xfId="4464"/>
    <cellStyle name="Normal 13 4 4 3 2" xfId="4465"/>
    <cellStyle name="Normal 13 4 4 3 2 2" xfId="4466"/>
    <cellStyle name="Normal 13 4 4 3 3" xfId="4467"/>
    <cellStyle name="Normal 13 4 4 4" xfId="4468"/>
    <cellStyle name="Normal 13 4 4 4 2" xfId="4469"/>
    <cellStyle name="Normal 13 4 4 5" xfId="4470"/>
    <cellStyle name="Normal 13 4 5" xfId="4471"/>
    <cellStyle name="Normal 13 4 5 2" xfId="4472"/>
    <cellStyle name="Normal 13 4 5 2 2" xfId="4473"/>
    <cellStyle name="Normal 13 4 5 3" xfId="4474"/>
    <cellStyle name="Normal 13 4 6" xfId="4475"/>
    <cellStyle name="Normal 13 4 6 2" xfId="4476"/>
    <cellStyle name="Normal 13 4 6 2 2" xfId="4477"/>
    <cellStyle name="Normal 13 4 6 3" xfId="4478"/>
    <cellStyle name="Normal 13 4 7" xfId="4479"/>
    <cellStyle name="Normal 13 4 7 2" xfId="4480"/>
    <cellStyle name="Normal 13 4 8" xfId="4481"/>
    <cellStyle name="Normal 13 5" xfId="4482"/>
    <cellStyle name="Normal 13 5 2" xfId="4483"/>
    <cellStyle name="Normal 13 5 3" xfId="4484"/>
    <cellStyle name="Normal 13 5 3 2" xfId="4485"/>
    <cellStyle name="Normal 13 5 3 2 2" xfId="4486"/>
    <cellStyle name="Normal 13 5 3 3" xfId="4487"/>
    <cellStyle name="Normal 13 5 4" xfId="4488"/>
    <cellStyle name="Normal 13 5 4 2" xfId="4489"/>
    <cellStyle name="Normal 13 5 4 2 2" xfId="4490"/>
    <cellStyle name="Normal 13 5 4 3" xfId="4491"/>
    <cellStyle name="Normal 13 5 5" xfId="4492"/>
    <cellStyle name="Normal 13 5 5 2" xfId="4493"/>
    <cellStyle name="Normal 13 5 6" xfId="4494"/>
    <cellStyle name="Normal 13 6" xfId="4495"/>
    <cellStyle name="Normal 13 6 2" xfId="4496"/>
    <cellStyle name="Normal 13 6 3" xfId="4497"/>
    <cellStyle name="Normal 13 6 3 2" xfId="4498"/>
    <cellStyle name="Normal 13 6 3 2 2" xfId="4499"/>
    <cellStyle name="Normal 13 6 3 3" xfId="4500"/>
    <cellStyle name="Normal 13 6 4" xfId="4501"/>
    <cellStyle name="Normal 13 6 4 2" xfId="4502"/>
    <cellStyle name="Normal 13 6 4 2 2" xfId="4503"/>
    <cellStyle name="Normal 13 6 4 3" xfId="4504"/>
    <cellStyle name="Normal 13 6 5" xfId="4505"/>
    <cellStyle name="Normal 13 6 5 2" xfId="4506"/>
    <cellStyle name="Normal 13 6 6" xfId="4507"/>
    <cellStyle name="Normal 13 7" xfId="4508"/>
    <cellStyle name="Normal 13 8" xfId="4509"/>
    <cellStyle name="Normal 13 9" xfId="4510"/>
    <cellStyle name="Normal 130" xfId="4511"/>
    <cellStyle name="Normal 130 2" xfId="4512"/>
    <cellStyle name="Normal 130 2 2" xfId="4513"/>
    <cellStyle name="Normal 130 2 2 2" xfId="4514"/>
    <cellStyle name="Normal 130 2 3" xfId="4515"/>
    <cellStyle name="Normal 130 3" xfId="4516"/>
    <cellStyle name="Normal 130 3 2" xfId="4517"/>
    <cellStyle name="Normal 130 3 2 2" xfId="4518"/>
    <cellStyle name="Normal 130 3 3" xfId="4519"/>
    <cellStyle name="Normal 131" xfId="4520"/>
    <cellStyle name="Normal 131 2" xfId="4521"/>
    <cellStyle name="Normal 131 2 2" xfId="4522"/>
    <cellStyle name="Normal 131 2 2 2" xfId="4523"/>
    <cellStyle name="Normal 131 2 3" xfId="4524"/>
    <cellStyle name="Normal 131 3" xfId="4525"/>
    <cellStyle name="Normal 131 3 2" xfId="4526"/>
    <cellStyle name="Normal 131 3 2 2" xfId="4527"/>
    <cellStyle name="Normal 131 3 3" xfId="4528"/>
    <cellStyle name="Normal 132" xfId="4529"/>
    <cellStyle name="Normal 132 2" xfId="4530"/>
    <cellStyle name="Normal 132 2 2" xfId="4531"/>
    <cellStyle name="Normal 132 2 2 2" xfId="4532"/>
    <cellStyle name="Normal 132 2 3" xfId="4533"/>
    <cellStyle name="Normal 132 3" xfId="4534"/>
    <cellStyle name="Normal 132 3 2" xfId="4535"/>
    <cellStyle name="Normal 132 3 2 2" xfId="4536"/>
    <cellStyle name="Normal 132 3 3" xfId="4537"/>
    <cellStyle name="Normal 133" xfId="4538"/>
    <cellStyle name="Normal 133 2" xfId="4539"/>
    <cellStyle name="Normal 133 2 2" xfId="4540"/>
    <cellStyle name="Normal 133 2 2 2" xfId="4541"/>
    <cellStyle name="Normal 133 2 3" xfId="4542"/>
    <cellStyle name="Normal 133 3" xfId="4543"/>
    <cellStyle name="Normal 133 3 2" xfId="4544"/>
    <cellStyle name="Normal 133 3 2 2" xfId="4545"/>
    <cellStyle name="Normal 133 3 3" xfId="4546"/>
    <cellStyle name="Normal 134" xfId="4547"/>
    <cellStyle name="Normal 134 2" xfId="4548"/>
    <cellStyle name="Normal 134 2 2" xfId="4549"/>
    <cellStyle name="Normal 134 2 2 2" xfId="4550"/>
    <cellStyle name="Normal 134 2 3" xfId="4551"/>
    <cellStyle name="Normal 134 3" xfId="4552"/>
    <cellStyle name="Normal 134 3 2" xfId="4553"/>
    <cellStyle name="Normal 134 3 2 2" xfId="4554"/>
    <cellStyle name="Normal 134 3 3" xfId="4555"/>
    <cellStyle name="Normal 135" xfId="4556"/>
    <cellStyle name="Normal 135 2" xfId="4557"/>
    <cellStyle name="Normal 135 2 2" xfId="4558"/>
    <cellStyle name="Normal 135 2 2 2" xfId="4559"/>
    <cellStyle name="Normal 135 2 3" xfId="4560"/>
    <cellStyle name="Normal 135 3" xfId="4561"/>
    <cellStyle name="Normal 135 3 2" xfId="4562"/>
    <cellStyle name="Normal 135 3 2 2" xfId="4563"/>
    <cellStyle name="Normal 135 3 3" xfId="4564"/>
    <cellStyle name="Normal 136" xfId="4565"/>
    <cellStyle name="Normal 136 2" xfId="4566"/>
    <cellStyle name="Normal 136 2 2" xfId="4567"/>
    <cellStyle name="Normal 136 2 2 2" xfId="4568"/>
    <cellStyle name="Normal 136 2 3" xfId="4569"/>
    <cellStyle name="Normal 136 3" xfId="4570"/>
    <cellStyle name="Normal 136 3 2" xfId="4571"/>
    <cellStyle name="Normal 136 3 2 2" xfId="4572"/>
    <cellStyle name="Normal 136 3 3" xfId="4573"/>
    <cellStyle name="Normal 137" xfId="4574"/>
    <cellStyle name="Normal 137 2" xfId="4575"/>
    <cellStyle name="Normal 137 2 2" xfId="4576"/>
    <cellStyle name="Normal 137 2 2 2" xfId="4577"/>
    <cellStyle name="Normal 137 2 3" xfId="4578"/>
    <cellStyle name="Normal 137 3" xfId="4579"/>
    <cellStyle name="Normal 137 3 2" xfId="4580"/>
    <cellStyle name="Normal 137 3 2 2" xfId="4581"/>
    <cellStyle name="Normal 137 3 3" xfId="4582"/>
    <cellStyle name="Normal 138" xfId="4583"/>
    <cellStyle name="Normal 139" xfId="4584"/>
    <cellStyle name="Normal 14" xfId="4585"/>
    <cellStyle name="Normal 14 10" xfId="4586"/>
    <cellStyle name="Normal 14 11" xfId="4587"/>
    <cellStyle name="Normal 14 12" xfId="4588"/>
    <cellStyle name="Normal 14 13" xfId="4589"/>
    <cellStyle name="Normal 14 14" xfId="4590"/>
    <cellStyle name="Normal 14 15" xfId="4591"/>
    <cellStyle name="Normal 14 16" xfId="4592"/>
    <cellStyle name="Normal 14 17" xfId="4593"/>
    <cellStyle name="Normal 14 18" xfId="4594"/>
    <cellStyle name="Normal 14 18 2" xfId="4595"/>
    <cellStyle name="Normal 14 18 2 2" xfId="4596"/>
    <cellStyle name="Normal 14 18 2 2 2" xfId="4597"/>
    <cellStyle name="Normal 14 18 2 3" xfId="4598"/>
    <cellStyle name="Normal 14 18 3" xfId="4599"/>
    <cellStyle name="Normal 14 18 3 2" xfId="4600"/>
    <cellStyle name="Normal 14 18 3 2 2" xfId="4601"/>
    <cellStyle name="Normal 14 18 3 3" xfId="4602"/>
    <cellStyle name="Normal 14 18 4" xfId="4603"/>
    <cellStyle name="Normal 14 18 4 2" xfId="4604"/>
    <cellStyle name="Normal 14 18 5" xfId="4605"/>
    <cellStyle name="Normal 14 19" xfId="4606"/>
    <cellStyle name="Normal 14 2" xfId="4607"/>
    <cellStyle name="Normal 14 2 10" xfId="4608"/>
    <cellStyle name="Normal 14 2 10 2" xfId="4609"/>
    <cellStyle name="Normal 14 2 11" xfId="4610"/>
    <cellStyle name="Normal 14 2 2" xfId="4611"/>
    <cellStyle name="Normal 14 2 2 2" xfId="4612"/>
    <cellStyle name="Normal 14 2 2 2 2" xfId="4613"/>
    <cellStyle name="Normal 14 2 2 2 2 2" xfId="4614"/>
    <cellStyle name="Normal 14 2 2 2 2 2 2" xfId="4615"/>
    <cellStyle name="Normal 14 2 2 2 2 3" xfId="4616"/>
    <cellStyle name="Normal 14 2 2 2 3" xfId="4617"/>
    <cellStyle name="Normal 14 2 2 2 3 2" xfId="4618"/>
    <cellStyle name="Normal 14 2 2 2 3 2 2" xfId="4619"/>
    <cellStyle name="Normal 14 2 2 2 3 3" xfId="4620"/>
    <cellStyle name="Normal 14 2 2 2 4" xfId="4621"/>
    <cellStyle name="Normal 14 2 2 2 4 2" xfId="4622"/>
    <cellStyle name="Normal 14 2 2 2 5" xfId="4623"/>
    <cellStyle name="Normal 14 2 2 3" xfId="4624"/>
    <cellStyle name="Normal 14 2 2 3 2" xfId="4625"/>
    <cellStyle name="Normal 14 2 2 3 2 2" xfId="4626"/>
    <cellStyle name="Normal 14 2 2 3 2 2 2" xfId="4627"/>
    <cellStyle name="Normal 14 2 2 3 2 3" xfId="4628"/>
    <cellStyle name="Normal 14 2 2 3 3" xfId="4629"/>
    <cellStyle name="Normal 14 2 2 3 3 2" xfId="4630"/>
    <cellStyle name="Normal 14 2 2 3 3 2 2" xfId="4631"/>
    <cellStyle name="Normal 14 2 2 3 3 3" xfId="4632"/>
    <cellStyle name="Normal 14 2 2 3 4" xfId="4633"/>
    <cellStyle name="Normal 14 2 2 3 4 2" xfId="4634"/>
    <cellStyle name="Normal 14 2 2 3 5" xfId="4635"/>
    <cellStyle name="Normal 14 2 2 4" xfId="4636"/>
    <cellStyle name="Normal 14 2 2 4 2" xfId="4637"/>
    <cellStyle name="Normal 14 2 2 4 2 2" xfId="4638"/>
    <cellStyle name="Normal 14 2 2 4 2 2 2" xfId="4639"/>
    <cellStyle name="Normal 14 2 2 4 2 3" xfId="4640"/>
    <cellStyle name="Normal 14 2 2 4 3" xfId="4641"/>
    <cellStyle name="Normal 14 2 2 4 3 2" xfId="4642"/>
    <cellStyle name="Normal 14 2 2 4 3 2 2" xfId="4643"/>
    <cellStyle name="Normal 14 2 2 4 3 3" xfId="4644"/>
    <cellStyle name="Normal 14 2 2 4 4" xfId="4645"/>
    <cellStyle name="Normal 14 2 2 4 4 2" xfId="4646"/>
    <cellStyle name="Normal 14 2 2 4 5" xfId="4647"/>
    <cellStyle name="Normal 14 2 2 5" xfId="4648"/>
    <cellStyle name="Normal 14 2 2 5 2" xfId="4649"/>
    <cellStyle name="Normal 14 2 2 5 2 2" xfId="4650"/>
    <cellStyle name="Normal 14 2 2 5 3" xfId="4651"/>
    <cellStyle name="Normal 14 2 2 6" xfId="4652"/>
    <cellStyle name="Normal 14 2 2 6 2" xfId="4653"/>
    <cellStyle name="Normal 14 2 2 6 2 2" xfId="4654"/>
    <cellStyle name="Normal 14 2 2 6 3" xfId="4655"/>
    <cellStyle name="Normal 14 2 2 7" xfId="4656"/>
    <cellStyle name="Normal 14 2 2 7 2" xfId="4657"/>
    <cellStyle name="Normal 14 2 2 8" xfId="4658"/>
    <cellStyle name="Normal 14 2 3" xfId="4659"/>
    <cellStyle name="Normal 14 2 3 2" xfId="4660"/>
    <cellStyle name="Normal 14 2 3 3" xfId="4661"/>
    <cellStyle name="Normal 14 2 3 3 2" xfId="4662"/>
    <cellStyle name="Normal 14 2 3 3 2 2" xfId="4663"/>
    <cellStyle name="Normal 14 2 3 3 3" xfId="4664"/>
    <cellStyle name="Normal 14 2 3 4" xfId="4665"/>
    <cellStyle name="Normal 14 2 3 4 2" xfId="4666"/>
    <cellStyle name="Normal 14 2 3 4 2 2" xfId="4667"/>
    <cellStyle name="Normal 14 2 3 4 3" xfId="4668"/>
    <cellStyle name="Normal 14 2 3 5" xfId="4669"/>
    <cellStyle name="Normal 14 2 3 5 2" xfId="4670"/>
    <cellStyle name="Normal 14 2 3 6" xfId="4671"/>
    <cellStyle name="Normal 14 2 4" xfId="4672"/>
    <cellStyle name="Normal 14 2 4 2" xfId="4673"/>
    <cellStyle name="Normal 14 2 4 2 2" xfId="4674"/>
    <cellStyle name="Normal 14 2 4 2 2 2" xfId="4675"/>
    <cellStyle name="Normal 14 2 4 2 3" xfId="4676"/>
    <cellStyle name="Normal 14 2 4 3" xfId="4677"/>
    <cellStyle name="Normal 14 2 4 3 2" xfId="4678"/>
    <cellStyle name="Normal 14 2 4 3 2 2" xfId="4679"/>
    <cellStyle name="Normal 14 2 4 3 3" xfId="4680"/>
    <cellStyle name="Normal 14 2 4 4" xfId="4681"/>
    <cellStyle name="Normal 14 2 4 4 2" xfId="4682"/>
    <cellStyle name="Normal 14 2 4 5" xfId="4683"/>
    <cellStyle name="Normal 14 2 5" xfId="4684"/>
    <cellStyle name="Normal 14 2 5 2" xfId="4685"/>
    <cellStyle name="Normal 14 2 5 2 2" xfId="4686"/>
    <cellStyle name="Normal 14 2 5 2 2 2" xfId="4687"/>
    <cellStyle name="Normal 14 2 5 2 3" xfId="4688"/>
    <cellStyle name="Normal 14 2 5 3" xfId="4689"/>
    <cellStyle name="Normal 14 2 5 3 2" xfId="4690"/>
    <cellStyle name="Normal 14 2 5 3 2 2" xfId="4691"/>
    <cellStyle name="Normal 14 2 5 3 3" xfId="4692"/>
    <cellStyle name="Normal 14 2 5 4" xfId="4693"/>
    <cellStyle name="Normal 14 2 5 4 2" xfId="4694"/>
    <cellStyle name="Normal 14 2 5 5" xfId="4695"/>
    <cellStyle name="Normal 14 2 6" xfId="4696"/>
    <cellStyle name="Normal 14 2 6 2" xfId="4697"/>
    <cellStyle name="Normal 14 2 6 2 2" xfId="4698"/>
    <cellStyle name="Normal 14 2 6 3" xfId="4699"/>
    <cellStyle name="Normal 14 2 7" xfId="4700"/>
    <cellStyle name="Normal 14 2 7 2" xfId="4701"/>
    <cellStyle name="Normal 14 2 7 2 2" xfId="4702"/>
    <cellStyle name="Normal 14 2 7 3" xfId="4703"/>
    <cellStyle name="Normal 14 2 8" xfId="4704"/>
    <cellStyle name="Normal 14 2 8 2" xfId="4705"/>
    <cellStyle name="Normal 14 2 8 2 2" xfId="4706"/>
    <cellStyle name="Normal 14 2 8 3" xfId="4707"/>
    <cellStyle name="Normal 14 2 9" xfId="4708"/>
    <cellStyle name="Normal 14 2 9 2" xfId="4709"/>
    <cellStyle name="Normal 14 2 9 2 2" xfId="4710"/>
    <cellStyle name="Normal 14 2 9 3" xfId="4711"/>
    <cellStyle name="Normal 14 20" xfId="4712"/>
    <cellStyle name="Normal 14 20 2" xfId="4713"/>
    <cellStyle name="Normal 14 20 2 2" xfId="4714"/>
    <cellStyle name="Normal 14 20 3" xfId="4715"/>
    <cellStyle name="Normal 14 21" xfId="4716"/>
    <cellStyle name="Normal 14 21 2" xfId="4717"/>
    <cellStyle name="Normal 14 21 2 2" xfId="4718"/>
    <cellStyle name="Normal 14 21 3" xfId="4719"/>
    <cellStyle name="Normal 14 22" xfId="4720"/>
    <cellStyle name="Normal 14 22 2" xfId="4721"/>
    <cellStyle name="Normal 14 23" xfId="18651"/>
    <cellStyle name="Normal 14 3" xfId="4722"/>
    <cellStyle name="Normal 14 3 10" xfId="4723"/>
    <cellStyle name="Normal 14 3 10 2" xfId="4724"/>
    <cellStyle name="Normal 14 3 11" xfId="4725"/>
    <cellStyle name="Normal 14 3 2" xfId="4726"/>
    <cellStyle name="Normal 14 3 2 2" xfId="4727"/>
    <cellStyle name="Normal 14 3 2 2 2" xfId="4728"/>
    <cellStyle name="Normal 14 3 2 2 2 2" xfId="4729"/>
    <cellStyle name="Normal 14 3 2 2 2 2 2" xfId="4730"/>
    <cellStyle name="Normal 14 3 2 2 2 3" xfId="4731"/>
    <cellStyle name="Normal 14 3 2 2 3" xfId="4732"/>
    <cellStyle name="Normal 14 3 2 2 3 2" xfId="4733"/>
    <cellStyle name="Normal 14 3 2 2 3 2 2" xfId="4734"/>
    <cellStyle name="Normal 14 3 2 2 3 3" xfId="4735"/>
    <cellStyle name="Normal 14 3 2 2 4" xfId="4736"/>
    <cellStyle name="Normal 14 3 2 2 4 2" xfId="4737"/>
    <cellStyle name="Normal 14 3 2 2 5" xfId="4738"/>
    <cellStyle name="Normal 14 3 2 3" xfId="4739"/>
    <cellStyle name="Normal 14 3 2 3 2" xfId="4740"/>
    <cellStyle name="Normal 14 3 2 3 2 2" xfId="4741"/>
    <cellStyle name="Normal 14 3 2 3 2 2 2" xfId="4742"/>
    <cellStyle name="Normal 14 3 2 3 2 3" xfId="4743"/>
    <cellStyle name="Normal 14 3 2 3 3" xfId="4744"/>
    <cellStyle name="Normal 14 3 2 3 3 2" xfId="4745"/>
    <cellStyle name="Normal 14 3 2 3 3 2 2" xfId="4746"/>
    <cellStyle name="Normal 14 3 2 3 3 3" xfId="4747"/>
    <cellStyle name="Normal 14 3 2 3 4" xfId="4748"/>
    <cellStyle name="Normal 14 3 2 3 4 2" xfId="4749"/>
    <cellStyle name="Normal 14 3 2 3 5" xfId="4750"/>
    <cellStyle name="Normal 14 3 2 4" xfId="4751"/>
    <cellStyle name="Normal 14 3 2 4 2" xfId="4752"/>
    <cellStyle name="Normal 14 3 2 4 2 2" xfId="4753"/>
    <cellStyle name="Normal 14 3 2 4 2 2 2" xfId="4754"/>
    <cellStyle name="Normal 14 3 2 4 2 3" xfId="4755"/>
    <cellStyle name="Normal 14 3 2 4 3" xfId="4756"/>
    <cellStyle name="Normal 14 3 2 4 3 2" xfId="4757"/>
    <cellStyle name="Normal 14 3 2 4 3 2 2" xfId="4758"/>
    <cellStyle name="Normal 14 3 2 4 3 3" xfId="4759"/>
    <cellStyle name="Normal 14 3 2 4 4" xfId="4760"/>
    <cellStyle name="Normal 14 3 2 4 4 2" xfId="4761"/>
    <cellStyle name="Normal 14 3 2 4 5" xfId="4762"/>
    <cellStyle name="Normal 14 3 2 5" xfId="4763"/>
    <cellStyle name="Normal 14 3 2 5 2" xfId="4764"/>
    <cellStyle name="Normal 14 3 2 5 2 2" xfId="4765"/>
    <cellStyle name="Normal 14 3 2 5 3" xfId="4766"/>
    <cellStyle name="Normal 14 3 2 6" xfId="4767"/>
    <cellStyle name="Normal 14 3 2 6 2" xfId="4768"/>
    <cellStyle name="Normal 14 3 2 6 2 2" xfId="4769"/>
    <cellStyle name="Normal 14 3 2 6 3" xfId="4770"/>
    <cellStyle name="Normal 14 3 2 7" xfId="4771"/>
    <cellStyle name="Normal 14 3 2 7 2" xfId="4772"/>
    <cellStyle name="Normal 14 3 2 8" xfId="4773"/>
    <cellStyle name="Normal 14 3 3" xfId="4774"/>
    <cellStyle name="Normal 14 3 3 2" xfId="4775"/>
    <cellStyle name="Normal 14 3 3 3" xfId="4776"/>
    <cellStyle name="Normal 14 3 3 3 2" xfId="4777"/>
    <cellStyle name="Normal 14 3 3 3 2 2" xfId="4778"/>
    <cellStyle name="Normal 14 3 3 3 3" xfId="4779"/>
    <cellStyle name="Normal 14 3 3 4" xfId="4780"/>
    <cellStyle name="Normal 14 3 3 4 2" xfId="4781"/>
    <cellStyle name="Normal 14 3 3 4 2 2" xfId="4782"/>
    <cellStyle name="Normal 14 3 3 4 3" xfId="4783"/>
    <cellStyle name="Normal 14 3 3 5" xfId="4784"/>
    <cellStyle name="Normal 14 3 3 5 2" xfId="4785"/>
    <cellStyle name="Normal 14 3 3 6" xfId="4786"/>
    <cellStyle name="Normal 14 3 4" xfId="4787"/>
    <cellStyle name="Normal 14 3 4 2" xfId="4788"/>
    <cellStyle name="Normal 14 3 4 2 2" xfId="4789"/>
    <cellStyle name="Normal 14 3 4 2 2 2" xfId="4790"/>
    <cellStyle name="Normal 14 3 4 2 3" xfId="4791"/>
    <cellStyle name="Normal 14 3 4 3" xfId="4792"/>
    <cellStyle name="Normal 14 3 4 3 2" xfId="4793"/>
    <cellStyle name="Normal 14 3 4 3 2 2" xfId="4794"/>
    <cellStyle name="Normal 14 3 4 3 3" xfId="4795"/>
    <cellStyle name="Normal 14 3 4 4" xfId="4796"/>
    <cellStyle name="Normal 14 3 4 4 2" xfId="4797"/>
    <cellStyle name="Normal 14 3 4 5" xfId="4798"/>
    <cellStyle name="Normal 14 3 5" xfId="4799"/>
    <cellStyle name="Normal 14 3 5 2" xfId="4800"/>
    <cellStyle name="Normal 14 3 5 2 2" xfId="4801"/>
    <cellStyle name="Normal 14 3 5 2 2 2" xfId="4802"/>
    <cellStyle name="Normal 14 3 5 2 3" xfId="4803"/>
    <cellStyle name="Normal 14 3 5 3" xfId="4804"/>
    <cellStyle name="Normal 14 3 5 3 2" xfId="4805"/>
    <cellStyle name="Normal 14 3 5 3 2 2" xfId="4806"/>
    <cellStyle name="Normal 14 3 5 3 3" xfId="4807"/>
    <cellStyle name="Normal 14 3 5 4" xfId="4808"/>
    <cellStyle name="Normal 14 3 5 4 2" xfId="4809"/>
    <cellStyle name="Normal 14 3 5 5" xfId="4810"/>
    <cellStyle name="Normal 14 3 6" xfId="4811"/>
    <cellStyle name="Normal 14 3 6 2" xfId="4812"/>
    <cellStyle name="Normal 14 3 6 2 2" xfId="4813"/>
    <cellStyle name="Normal 14 3 6 3" xfId="4814"/>
    <cellStyle name="Normal 14 3 7" xfId="4815"/>
    <cellStyle name="Normal 14 3 7 2" xfId="4816"/>
    <cellStyle name="Normal 14 3 7 2 2" xfId="4817"/>
    <cellStyle name="Normal 14 3 7 3" xfId="4818"/>
    <cellStyle name="Normal 14 3 8" xfId="4819"/>
    <cellStyle name="Normal 14 3 8 2" xfId="4820"/>
    <cellStyle name="Normal 14 3 8 2 2" xfId="4821"/>
    <cellStyle name="Normal 14 3 8 3" xfId="4822"/>
    <cellStyle name="Normal 14 3 9" xfId="4823"/>
    <cellStyle name="Normal 14 3 9 2" xfId="4824"/>
    <cellStyle name="Normal 14 3 9 2 2" xfId="4825"/>
    <cellStyle name="Normal 14 3 9 3" xfId="4826"/>
    <cellStyle name="Normal 14 4" xfId="4827"/>
    <cellStyle name="Normal 14 4 2" xfId="4828"/>
    <cellStyle name="Normal 14 4 2 2" xfId="4829"/>
    <cellStyle name="Normal 14 4 2 3" xfId="4830"/>
    <cellStyle name="Normal 14 4 2 3 2" xfId="4831"/>
    <cellStyle name="Normal 14 4 2 3 2 2" xfId="4832"/>
    <cellStyle name="Normal 14 4 2 3 3" xfId="4833"/>
    <cellStyle name="Normal 14 4 2 4" xfId="4834"/>
    <cellStyle name="Normal 14 4 2 4 2" xfId="4835"/>
    <cellStyle name="Normal 14 4 2 4 2 2" xfId="4836"/>
    <cellStyle name="Normal 14 4 2 4 3" xfId="4837"/>
    <cellStyle name="Normal 14 4 2 5" xfId="4838"/>
    <cellStyle name="Normal 14 4 2 5 2" xfId="4839"/>
    <cellStyle name="Normal 14 4 2 6" xfId="4840"/>
    <cellStyle name="Normal 14 4 3" xfId="4841"/>
    <cellStyle name="Normal 14 4 3 2" xfId="4842"/>
    <cellStyle name="Normal 14 4 3 2 2" xfId="4843"/>
    <cellStyle name="Normal 14 4 3 2 2 2" xfId="4844"/>
    <cellStyle name="Normal 14 4 3 2 3" xfId="4845"/>
    <cellStyle name="Normal 14 4 3 3" xfId="4846"/>
    <cellStyle name="Normal 14 4 3 3 2" xfId="4847"/>
    <cellStyle name="Normal 14 4 3 3 2 2" xfId="4848"/>
    <cellStyle name="Normal 14 4 3 3 3" xfId="4849"/>
    <cellStyle name="Normal 14 4 3 4" xfId="4850"/>
    <cellStyle name="Normal 14 4 3 4 2" xfId="4851"/>
    <cellStyle name="Normal 14 4 3 5" xfId="4852"/>
    <cellStyle name="Normal 14 4 4" xfId="4853"/>
    <cellStyle name="Normal 14 4 4 2" xfId="4854"/>
    <cellStyle name="Normal 14 4 4 2 2" xfId="4855"/>
    <cellStyle name="Normal 14 4 4 2 2 2" xfId="4856"/>
    <cellStyle name="Normal 14 4 4 2 3" xfId="4857"/>
    <cellStyle name="Normal 14 4 4 3" xfId="4858"/>
    <cellStyle name="Normal 14 4 4 3 2" xfId="4859"/>
    <cellStyle name="Normal 14 4 4 3 2 2" xfId="4860"/>
    <cellStyle name="Normal 14 4 4 3 3" xfId="4861"/>
    <cellStyle name="Normal 14 4 4 4" xfId="4862"/>
    <cellStyle name="Normal 14 4 4 4 2" xfId="4863"/>
    <cellStyle name="Normal 14 4 4 5" xfId="4864"/>
    <cellStyle name="Normal 14 4 5" xfId="4865"/>
    <cellStyle name="Normal 14 4 5 2" xfId="4866"/>
    <cellStyle name="Normal 14 4 5 2 2" xfId="4867"/>
    <cellStyle name="Normal 14 4 5 3" xfId="4868"/>
    <cellStyle name="Normal 14 4 6" xfId="4869"/>
    <cellStyle name="Normal 14 4 6 2" xfId="4870"/>
    <cellStyle name="Normal 14 4 6 2 2" xfId="4871"/>
    <cellStyle name="Normal 14 4 6 3" xfId="4872"/>
    <cellStyle name="Normal 14 4 7" xfId="4873"/>
    <cellStyle name="Normal 14 4 7 2" xfId="4874"/>
    <cellStyle name="Normal 14 4 8" xfId="4875"/>
    <cellStyle name="Normal 14 5" xfId="4876"/>
    <cellStyle name="Normal 14 5 2" xfId="4877"/>
    <cellStyle name="Normal 14 5 3" xfId="4878"/>
    <cellStyle name="Normal 14 5 3 2" xfId="4879"/>
    <cellStyle name="Normal 14 5 3 2 2" xfId="4880"/>
    <cellStyle name="Normal 14 5 3 3" xfId="4881"/>
    <cellStyle name="Normal 14 5 4" xfId="4882"/>
    <cellStyle name="Normal 14 5 4 2" xfId="4883"/>
    <cellStyle name="Normal 14 5 4 2 2" xfId="4884"/>
    <cellStyle name="Normal 14 5 4 3" xfId="4885"/>
    <cellStyle name="Normal 14 5 5" xfId="4886"/>
    <cellStyle name="Normal 14 5 5 2" xfId="4887"/>
    <cellStyle name="Normal 14 5 6" xfId="4888"/>
    <cellStyle name="Normal 14 6" xfId="4889"/>
    <cellStyle name="Normal 14 6 2" xfId="4890"/>
    <cellStyle name="Normal 14 6 3" xfId="4891"/>
    <cellStyle name="Normal 14 6 3 2" xfId="4892"/>
    <cellStyle name="Normal 14 6 3 2 2" xfId="4893"/>
    <cellStyle name="Normal 14 6 3 3" xfId="4894"/>
    <cellStyle name="Normal 14 6 4" xfId="4895"/>
    <cellStyle name="Normal 14 6 4 2" xfId="4896"/>
    <cellStyle name="Normal 14 6 4 2 2" xfId="4897"/>
    <cellStyle name="Normal 14 6 4 3" xfId="4898"/>
    <cellStyle name="Normal 14 6 5" xfId="4899"/>
    <cellStyle name="Normal 14 6 5 2" xfId="4900"/>
    <cellStyle name="Normal 14 6 6" xfId="4901"/>
    <cellStyle name="Normal 14 7" xfId="4902"/>
    <cellStyle name="Normal 14 8" xfId="4903"/>
    <cellStyle name="Normal 14 9" xfId="4904"/>
    <cellStyle name="Normal 140" xfId="4905"/>
    <cellStyle name="Normal 141" xfId="4906"/>
    <cellStyle name="Normal 142" xfId="4907"/>
    <cellStyle name="Normal 143" xfId="4908"/>
    <cellStyle name="Normal 144" xfId="4909"/>
    <cellStyle name="Normal 145" xfId="4910"/>
    <cellStyle name="Normal 146" xfId="4911"/>
    <cellStyle name="Normal 147" xfId="4912"/>
    <cellStyle name="Normal 148" xfId="4913"/>
    <cellStyle name="Normal 149" xfId="4914"/>
    <cellStyle name="Normal 15" xfId="4915"/>
    <cellStyle name="Normal 15 10" xfId="4916"/>
    <cellStyle name="Normal 15 11" xfId="4917"/>
    <cellStyle name="Normal 15 12" xfId="4918"/>
    <cellStyle name="Normal 15 13" xfId="4919"/>
    <cellStyle name="Normal 15 14" xfId="4920"/>
    <cellStyle name="Normal 15 15" xfId="4921"/>
    <cellStyle name="Normal 15 16" xfId="4922"/>
    <cellStyle name="Normal 15 17" xfId="4923"/>
    <cellStyle name="Normal 15 18" xfId="4924"/>
    <cellStyle name="Normal 15 18 2" xfId="4925"/>
    <cellStyle name="Normal 15 18 2 2" xfId="4926"/>
    <cellStyle name="Normal 15 18 2 2 2" xfId="4927"/>
    <cellStyle name="Normal 15 18 2 3" xfId="4928"/>
    <cellStyle name="Normal 15 18 3" xfId="4929"/>
    <cellStyle name="Normal 15 18 3 2" xfId="4930"/>
    <cellStyle name="Normal 15 18 3 2 2" xfId="4931"/>
    <cellStyle name="Normal 15 18 3 3" xfId="4932"/>
    <cellStyle name="Normal 15 18 4" xfId="4933"/>
    <cellStyle name="Normal 15 18 4 2" xfId="4934"/>
    <cellStyle name="Normal 15 18 5" xfId="4935"/>
    <cellStyle name="Normal 15 19" xfId="4936"/>
    <cellStyle name="Normal 15 2" xfId="4937"/>
    <cellStyle name="Normal 15 2 10" xfId="4938"/>
    <cellStyle name="Normal 15 2 10 2" xfId="4939"/>
    <cellStyle name="Normal 15 2 11" xfId="4940"/>
    <cellStyle name="Normal 15 2 2" xfId="4941"/>
    <cellStyle name="Normal 15 2 2 2" xfId="4942"/>
    <cellStyle name="Normal 15 2 2 2 2" xfId="4943"/>
    <cellStyle name="Normal 15 2 2 2 2 2" xfId="4944"/>
    <cellStyle name="Normal 15 2 2 2 2 2 2" xfId="4945"/>
    <cellStyle name="Normal 15 2 2 2 2 3" xfId="4946"/>
    <cellStyle name="Normal 15 2 2 2 3" xfId="4947"/>
    <cellStyle name="Normal 15 2 2 2 3 2" xfId="4948"/>
    <cellStyle name="Normal 15 2 2 2 3 2 2" xfId="4949"/>
    <cellStyle name="Normal 15 2 2 2 3 3" xfId="4950"/>
    <cellStyle name="Normal 15 2 2 2 4" xfId="4951"/>
    <cellStyle name="Normal 15 2 2 2 4 2" xfId="4952"/>
    <cellStyle name="Normal 15 2 2 2 5" xfId="4953"/>
    <cellStyle name="Normal 15 2 2 3" xfId="4954"/>
    <cellStyle name="Normal 15 2 2 3 2" xfId="4955"/>
    <cellStyle name="Normal 15 2 2 3 2 2" xfId="4956"/>
    <cellStyle name="Normal 15 2 2 3 2 2 2" xfId="4957"/>
    <cellStyle name="Normal 15 2 2 3 2 3" xfId="4958"/>
    <cellStyle name="Normal 15 2 2 3 3" xfId="4959"/>
    <cellStyle name="Normal 15 2 2 3 3 2" xfId="4960"/>
    <cellStyle name="Normal 15 2 2 3 3 2 2" xfId="4961"/>
    <cellStyle name="Normal 15 2 2 3 3 3" xfId="4962"/>
    <cellStyle name="Normal 15 2 2 3 4" xfId="4963"/>
    <cellStyle name="Normal 15 2 2 3 4 2" xfId="4964"/>
    <cellStyle name="Normal 15 2 2 3 5" xfId="4965"/>
    <cellStyle name="Normal 15 2 2 4" xfId="4966"/>
    <cellStyle name="Normal 15 2 2 4 2" xfId="4967"/>
    <cellStyle name="Normal 15 2 2 4 2 2" xfId="4968"/>
    <cellStyle name="Normal 15 2 2 4 2 2 2" xfId="4969"/>
    <cellStyle name="Normal 15 2 2 4 2 3" xfId="4970"/>
    <cellStyle name="Normal 15 2 2 4 3" xfId="4971"/>
    <cellStyle name="Normal 15 2 2 4 3 2" xfId="4972"/>
    <cellStyle name="Normal 15 2 2 4 3 2 2" xfId="4973"/>
    <cellStyle name="Normal 15 2 2 4 3 3" xfId="4974"/>
    <cellStyle name="Normal 15 2 2 4 4" xfId="4975"/>
    <cellStyle name="Normal 15 2 2 4 4 2" xfId="4976"/>
    <cellStyle name="Normal 15 2 2 4 5" xfId="4977"/>
    <cellStyle name="Normal 15 2 2 5" xfId="4978"/>
    <cellStyle name="Normal 15 2 2 5 2" xfId="4979"/>
    <cellStyle name="Normal 15 2 2 5 2 2" xfId="4980"/>
    <cellStyle name="Normal 15 2 2 5 3" xfId="4981"/>
    <cellStyle name="Normal 15 2 2 6" xfId="4982"/>
    <cellStyle name="Normal 15 2 2 6 2" xfId="4983"/>
    <cellStyle name="Normal 15 2 2 6 2 2" xfId="4984"/>
    <cellStyle name="Normal 15 2 2 6 3" xfId="4985"/>
    <cellStyle name="Normal 15 2 2 7" xfId="4986"/>
    <cellStyle name="Normal 15 2 2 7 2" xfId="4987"/>
    <cellStyle name="Normal 15 2 2 8" xfId="4988"/>
    <cellStyle name="Normal 15 2 3" xfId="4989"/>
    <cellStyle name="Normal 15 2 3 2" xfId="4990"/>
    <cellStyle name="Normal 15 2 3 3" xfId="4991"/>
    <cellStyle name="Normal 15 2 3 3 2" xfId="4992"/>
    <cellStyle name="Normal 15 2 3 3 2 2" xfId="4993"/>
    <cellStyle name="Normal 15 2 3 3 3" xfId="4994"/>
    <cellStyle name="Normal 15 2 3 4" xfId="4995"/>
    <cellStyle name="Normal 15 2 3 4 2" xfId="4996"/>
    <cellStyle name="Normal 15 2 3 4 2 2" xfId="4997"/>
    <cellStyle name="Normal 15 2 3 4 3" xfId="4998"/>
    <cellStyle name="Normal 15 2 3 5" xfId="4999"/>
    <cellStyle name="Normal 15 2 3 5 2" xfId="5000"/>
    <cellStyle name="Normal 15 2 3 6" xfId="5001"/>
    <cellStyle name="Normal 15 2 4" xfId="5002"/>
    <cellStyle name="Normal 15 2 4 2" xfId="5003"/>
    <cellStyle name="Normal 15 2 4 2 2" xfId="5004"/>
    <cellStyle name="Normal 15 2 4 2 2 2" xfId="5005"/>
    <cellStyle name="Normal 15 2 4 2 3" xfId="5006"/>
    <cellStyle name="Normal 15 2 4 3" xfId="5007"/>
    <cellStyle name="Normal 15 2 4 3 2" xfId="5008"/>
    <cellStyle name="Normal 15 2 4 3 2 2" xfId="5009"/>
    <cellStyle name="Normal 15 2 4 3 3" xfId="5010"/>
    <cellStyle name="Normal 15 2 4 4" xfId="5011"/>
    <cellStyle name="Normal 15 2 4 4 2" xfId="5012"/>
    <cellStyle name="Normal 15 2 4 5" xfId="5013"/>
    <cellStyle name="Normal 15 2 5" xfId="5014"/>
    <cellStyle name="Normal 15 2 5 2" xfId="5015"/>
    <cellStyle name="Normal 15 2 5 2 2" xfId="5016"/>
    <cellStyle name="Normal 15 2 5 2 2 2" xfId="5017"/>
    <cellStyle name="Normal 15 2 5 2 3" xfId="5018"/>
    <cellStyle name="Normal 15 2 5 3" xfId="5019"/>
    <cellStyle name="Normal 15 2 5 3 2" xfId="5020"/>
    <cellStyle name="Normal 15 2 5 3 2 2" xfId="5021"/>
    <cellStyle name="Normal 15 2 5 3 3" xfId="5022"/>
    <cellStyle name="Normal 15 2 5 4" xfId="5023"/>
    <cellStyle name="Normal 15 2 5 4 2" xfId="5024"/>
    <cellStyle name="Normal 15 2 5 5" xfId="5025"/>
    <cellStyle name="Normal 15 2 6" xfId="5026"/>
    <cellStyle name="Normal 15 2 6 2" xfId="5027"/>
    <cellStyle name="Normal 15 2 6 2 2" xfId="5028"/>
    <cellStyle name="Normal 15 2 6 3" xfId="5029"/>
    <cellStyle name="Normal 15 2 7" xfId="5030"/>
    <cellStyle name="Normal 15 2 7 2" xfId="5031"/>
    <cellStyle name="Normal 15 2 7 2 2" xfId="5032"/>
    <cellStyle name="Normal 15 2 7 3" xfId="5033"/>
    <cellStyle name="Normal 15 2 8" xfId="5034"/>
    <cellStyle name="Normal 15 2 8 2" xfId="5035"/>
    <cellStyle name="Normal 15 2 8 2 2" xfId="5036"/>
    <cellStyle name="Normal 15 2 8 3" xfId="5037"/>
    <cellStyle name="Normal 15 2 9" xfId="5038"/>
    <cellStyle name="Normal 15 2 9 2" xfId="5039"/>
    <cellStyle name="Normal 15 2 9 2 2" xfId="5040"/>
    <cellStyle name="Normal 15 2 9 3" xfId="5041"/>
    <cellStyle name="Normal 15 20" xfId="5042"/>
    <cellStyle name="Normal 15 20 2" xfId="5043"/>
    <cellStyle name="Normal 15 20 2 2" xfId="5044"/>
    <cellStyle name="Normal 15 20 3" xfId="5045"/>
    <cellStyle name="Normal 15 21" xfId="5046"/>
    <cellStyle name="Normal 15 21 2" xfId="5047"/>
    <cellStyle name="Normal 15 21 2 2" xfId="5048"/>
    <cellStyle name="Normal 15 21 3" xfId="5049"/>
    <cellStyle name="Normal 15 22" xfId="5050"/>
    <cellStyle name="Normal 15 22 2" xfId="5051"/>
    <cellStyle name="Normal 15 23" xfId="18652"/>
    <cellStyle name="Normal 15 3" xfId="5052"/>
    <cellStyle name="Normal 15 3 10" xfId="5053"/>
    <cellStyle name="Normal 15 3 10 2" xfId="5054"/>
    <cellStyle name="Normal 15 3 11" xfId="5055"/>
    <cellStyle name="Normal 15 3 2" xfId="5056"/>
    <cellStyle name="Normal 15 3 2 2" xfId="5057"/>
    <cellStyle name="Normal 15 3 2 2 2" xfId="5058"/>
    <cellStyle name="Normal 15 3 2 2 2 2" xfId="5059"/>
    <cellStyle name="Normal 15 3 2 2 2 2 2" xfId="5060"/>
    <cellStyle name="Normal 15 3 2 2 2 3" xfId="5061"/>
    <cellStyle name="Normal 15 3 2 2 3" xfId="5062"/>
    <cellStyle name="Normal 15 3 2 2 3 2" xfId="5063"/>
    <cellStyle name="Normal 15 3 2 2 3 2 2" xfId="5064"/>
    <cellStyle name="Normal 15 3 2 2 3 3" xfId="5065"/>
    <cellStyle name="Normal 15 3 2 2 4" xfId="5066"/>
    <cellStyle name="Normal 15 3 2 2 4 2" xfId="5067"/>
    <cellStyle name="Normal 15 3 2 2 5" xfId="5068"/>
    <cellStyle name="Normal 15 3 2 3" xfId="5069"/>
    <cellStyle name="Normal 15 3 2 3 2" xfId="5070"/>
    <cellStyle name="Normal 15 3 2 3 2 2" xfId="5071"/>
    <cellStyle name="Normal 15 3 2 3 2 2 2" xfId="5072"/>
    <cellStyle name="Normal 15 3 2 3 2 3" xfId="5073"/>
    <cellStyle name="Normal 15 3 2 3 3" xfId="5074"/>
    <cellStyle name="Normal 15 3 2 3 3 2" xfId="5075"/>
    <cellStyle name="Normal 15 3 2 3 3 2 2" xfId="5076"/>
    <cellStyle name="Normal 15 3 2 3 3 3" xfId="5077"/>
    <cellStyle name="Normal 15 3 2 3 4" xfId="5078"/>
    <cellStyle name="Normal 15 3 2 3 4 2" xfId="5079"/>
    <cellStyle name="Normal 15 3 2 3 5" xfId="5080"/>
    <cellStyle name="Normal 15 3 2 4" xfId="5081"/>
    <cellStyle name="Normal 15 3 2 4 2" xfId="5082"/>
    <cellStyle name="Normal 15 3 2 4 2 2" xfId="5083"/>
    <cellStyle name="Normal 15 3 2 4 2 2 2" xfId="5084"/>
    <cellStyle name="Normal 15 3 2 4 2 3" xfId="5085"/>
    <cellStyle name="Normal 15 3 2 4 3" xfId="5086"/>
    <cellStyle name="Normal 15 3 2 4 3 2" xfId="5087"/>
    <cellStyle name="Normal 15 3 2 4 3 2 2" xfId="5088"/>
    <cellStyle name="Normal 15 3 2 4 3 3" xfId="5089"/>
    <cellStyle name="Normal 15 3 2 4 4" xfId="5090"/>
    <cellStyle name="Normal 15 3 2 4 4 2" xfId="5091"/>
    <cellStyle name="Normal 15 3 2 4 5" xfId="5092"/>
    <cellStyle name="Normal 15 3 2 5" xfId="5093"/>
    <cellStyle name="Normal 15 3 2 5 2" xfId="5094"/>
    <cellStyle name="Normal 15 3 2 5 2 2" xfId="5095"/>
    <cellStyle name="Normal 15 3 2 5 3" xfId="5096"/>
    <cellStyle name="Normal 15 3 2 6" xfId="5097"/>
    <cellStyle name="Normal 15 3 2 6 2" xfId="5098"/>
    <cellStyle name="Normal 15 3 2 6 2 2" xfId="5099"/>
    <cellStyle name="Normal 15 3 2 6 3" xfId="5100"/>
    <cellStyle name="Normal 15 3 2 7" xfId="5101"/>
    <cellStyle name="Normal 15 3 2 7 2" xfId="5102"/>
    <cellStyle name="Normal 15 3 2 8" xfId="5103"/>
    <cellStyle name="Normal 15 3 3" xfId="5104"/>
    <cellStyle name="Normal 15 3 3 2" xfId="5105"/>
    <cellStyle name="Normal 15 3 3 3" xfId="5106"/>
    <cellStyle name="Normal 15 3 3 3 2" xfId="5107"/>
    <cellStyle name="Normal 15 3 3 3 2 2" xfId="5108"/>
    <cellStyle name="Normal 15 3 3 3 3" xfId="5109"/>
    <cellStyle name="Normal 15 3 3 4" xfId="5110"/>
    <cellStyle name="Normal 15 3 3 4 2" xfId="5111"/>
    <cellStyle name="Normal 15 3 3 4 2 2" xfId="5112"/>
    <cellStyle name="Normal 15 3 3 4 3" xfId="5113"/>
    <cellStyle name="Normal 15 3 3 5" xfId="5114"/>
    <cellStyle name="Normal 15 3 3 5 2" xfId="5115"/>
    <cellStyle name="Normal 15 3 3 6" xfId="5116"/>
    <cellStyle name="Normal 15 3 4" xfId="5117"/>
    <cellStyle name="Normal 15 3 4 2" xfId="5118"/>
    <cellStyle name="Normal 15 3 4 2 2" xfId="5119"/>
    <cellStyle name="Normal 15 3 4 2 2 2" xfId="5120"/>
    <cellStyle name="Normal 15 3 4 2 3" xfId="5121"/>
    <cellStyle name="Normal 15 3 4 3" xfId="5122"/>
    <cellStyle name="Normal 15 3 4 3 2" xfId="5123"/>
    <cellStyle name="Normal 15 3 4 3 2 2" xfId="5124"/>
    <cellStyle name="Normal 15 3 4 3 3" xfId="5125"/>
    <cellStyle name="Normal 15 3 4 4" xfId="5126"/>
    <cellStyle name="Normal 15 3 4 4 2" xfId="5127"/>
    <cellStyle name="Normal 15 3 4 5" xfId="5128"/>
    <cellStyle name="Normal 15 3 5" xfId="5129"/>
    <cellStyle name="Normal 15 3 5 2" xfId="5130"/>
    <cellStyle name="Normal 15 3 5 2 2" xfId="5131"/>
    <cellStyle name="Normal 15 3 5 2 2 2" xfId="5132"/>
    <cellStyle name="Normal 15 3 5 2 3" xfId="5133"/>
    <cellStyle name="Normal 15 3 5 3" xfId="5134"/>
    <cellStyle name="Normal 15 3 5 3 2" xfId="5135"/>
    <cellStyle name="Normal 15 3 5 3 2 2" xfId="5136"/>
    <cellStyle name="Normal 15 3 5 3 3" xfId="5137"/>
    <cellStyle name="Normal 15 3 5 4" xfId="5138"/>
    <cellStyle name="Normal 15 3 5 4 2" xfId="5139"/>
    <cellStyle name="Normal 15 3 5 5" xfId="5140"/>
    <cellStyle name="Normal 15 3 6" xfId="5141"/>
    <cellStyle name="Normal 15 3 6 2" xfId="5142"/>
    <cellStyle name="Normal 15 3 6 2 2" xfId="5143"/>
    <cellStyle name="Normal 15 3 6 3" xfId="5144"/>
    <cellStyle name="Normal 15 3 7" xfId="5145"/>
    <cellStyle name="Normal 15 3 7 2" xfId="5146"/>
    <cellStyle name="Normal 15 3 7 2 2" xfId="5147"/>
    <cellStyle name="Normal 15 3 7 3" xfId="5148"/>
    <cellStyle name="Normal 15 3 8" xfId="5149"/>
    <cellStyle name="Normal 15 3 8 2" xfId="5150"/>
    <cellStyle name="Normal 15 3 8 2 2" xfId="5151"/>
    <cellStyle name="Normal 15 3 8 3" xfId="5152"/>
    <cellStyle name="Normal 15 3 9" xfId="5153"/>
    <cellStyle name="Normal 15 3 9 2" xfId="5154"/>
    <cellStyle name="Normal 15 3 9 2 2" xfId="5155"/>
    <cellStyle name="Normal 15 3 9 3" xfId="5156"/>
    <cellStyle name="Normal 15 4" xfId="5157"/>
    <cellStyle name="Normal 15 4 2" xfId="5158"/>
    <cellStyle name="Normal 15 4 2 2" xfId="5159"/>
    <cellStyle name="Normal 15 4 2 3" xfId="5160"/>
    <cellStyle name="Normal 15 4 2 3 2" xfId="5161"/>
    <cellStyle name="Normal 15 4 2 3 2 2" xfId="5162"/>
    <cellStyle name="Normal 15 4 2 3 3" xfId="5163"/>
    <cellStyle name="Normal 15 4 2 4" xfId="5164"/>
    <cellStyle name="Normal 15 4 2 4 2" xfId="5165"/>
    <cellStyle name="Normal 15 4 2 4 2 2" xfId="5166"/>
    <cellStyle name="Normal 15 4 2 4 3" xfId="5167"/>
    <cellStyle name="Normal 15 4 2 5" xfId="5168"/>
    <cellStyle name="Normal 15 4 2 5 2" xfId="5169"/>
    <cellStyle name="Normal 15 4 2 6" xfId="5170"/>
    <cellStyle name="Normal 15 4 3" xfId="5171"/>
    <cellStyle name="Normal 15 4 3 2" xfId="5172"/>
    <cellStyle name="Normal 15 4 3 2 2" xfId="5173"/>
    <cellStyle name="Normal 15 4 3 2 2 2" xfId="5174"/>
    <cellStyle name="Normal 15 4 3 2 3" xfId="5175"/>
    <cellStyle name="Normal 15 4 3 3" xfId="5176"/>
    <cellStyle name="Normal 15 4 3 3 2" xfId="5177"/>
    <cellStyle name="Normal 15 4 3 3 2 2" xfId="5178"/>
    <cellStyle name="Normal 15 4 3 3 3" xfId="5179"/>
    <cellStyle name="Normal 15 4 3 4" xfId="5180"/>
    <cellStyle name="Normal 15 4 3 4 2" xfId="5181"/>
    <cellStyle name="Normal 15 4 3 5" xfId="5182"/>
    <cellStyle name="Normal 15 4 4" xfId="5183"/>
    <cellStyle name="Normal 15 4 4 2" xfId="5184"/>
    <cellStyle name="Normal 15 4 4 2 2" xfId="5185"/>
    <cellStyle name="Normal 15 4 4 2 2 2" xfId="5186"/>
    <cellStyle name="Normal 15 4 4 2 3" xfId="5187"/>
    <cellStyle name="Normal 15 4 4 3" xfId="5188"/>
    <cellStyle name="Normal 15 4 4 3 2" xfId="5189"/>
    <cellStyle name="Normal 15 4 4 3 2 2" xfId="5190"/>
    <cellStyle name="Normal 15 4 4 3 3" xfId="5191"/>
    <cellStyle name="Normal 15 4 4 4" xfId="5192"/>
    <cellStyle name="Normal 15 4 4 4 2" xfId="5193"/>
    <cellStyle name="Normal 15 4 4 5" xfId="5194"/>
    <cellStyle name="Normal 15 4 5" xfId="5195"/>
    <cellStyle name="Normal 15 4 5 2" xfId="5196"/>
    <cellStyle name="Normal 15 4 5 2 2" xfId="5197"/>
    <cellStyle name="Normal 15 4 5 3" xfId="5198"/>
    <cellStyle name="Normal 15 4 6" xfId="5199"/>
    <cellStyle name="Normal 15 4 6 2" xfId="5200"/>
    <cellStyle name="Normal 15 4 6 2 2" xfId="5201"/>
    <cellStyle name="Normal 15 4 6 3" xfId="5202"/>
    <cellStyle name="Normal 15 4 7" xfId="5203"/>
    <cellStyle name="Normal 15 4 7 2" xfId="5204"/>
    <cellStyle name="Normal 15 4 8" xfId="5205"/>
    <cellStyle name="Normal 15 5" xfId="5206"/>
    <cellStyle name="Normal 15 5 2" xfId="5207"/>
    <cellStyle name="Normal 15 5 3" xfId="5208"/>
    <cellStyle name="Normal 15 5 3 2" xfId="5209"/>
    <cellStyle name="Normal 15 5 3 2 2" xfId="5210"/>
    <cellStyle name="Normal 15 5 3 3" xfId="5211"/>
    <cellStyle name="Normal 15 5 4" xfId="5212"/>
    <cellStyle name="Normal 15 5 4 2" xfId="5213"/>
    <cellStyle name="Normal 15 5 4 2 2" xfId="5214"/>
    <cellStyle name="Normal 15 5 4 3" xfId="5215"/>
    <cellStyle name="Normal 15 5 5" xfId="5216"/>
    <cellStyle name="Normal 15 5 5 2" xfId="5217"/>
    <cellStyle name="Normal 15 5 6" xfId="5218"/>
    <cellStyle name="Normal 15 6" xfId="5219"/>
    <cellStyle name="Normal 15 6 2" xfId="5220"/>
    <cellStyle name="Normal 15 6 3" xfId="5221"/>
    <cellStyle name="Normal 15 6 3 2" xfId="5222"/>
    <cellStyle name="Normal 15 6 3 2 2" xfId="5223"/>
    <cellStyle name="Normal 15 6 3 3" xfId="5224"/>
    <cellStyle name="Normal 15 6 4" xfId="5225"/>
    <cellStyle name="Normal 15 6 4 2" xfId="5226"/>
    <cellStyle name="Normal 15 6 4 2 2" xfId="5227"/>
    <cellStyle name="Normal 15 6 4 3" xfId="5228"/>
    <cellStyle name="Normal 15 6 5" xfId="5229"/>
    <cellStyle name="Normal 15 6 5 2" xfId="5230"/>
    <cellStyle name="Normal 15 6 6" xfId="5231"/>
    <cellStyle name="Normal 15 7" xfId="5232"/>
    <cellStyle name="Normal 15 8" xfId="5233"/>
    <cellStyle name="Normal 15 9" xfId="5234"/>
    <cellStyle name="Normal 150" xfId="5235"/>
    <cellStyle name="Normal 151" xfId="5236"/>
    <cellStyle name="Normal 152" xfId="5237"/>
    <cellStyle name="Normal 153" xfId="5238"/>
    <cellStyle name="Normal 154" xfId="18303"/>
    <cellStyle name="Normal 155" xfId="18304"/>
    <cellStyle name="Normal 156" xfId="18305"/>
    <cellStyle name="Normal 157" xfId="18306"/>
    <cellStyle name="Normal 158" xfId="18307"/>
    <cellStyle name="Normal 159" xfId="18308"/>
    <cellStyle name="Normal 16" xfId="5239"/>
    <cellStyle name="Normal 16 10" xfId="5240"/>
    <cellStyle name="Normal 16 10 2" xfId="5241"/>
    <cellStyle name="Normal 16 10 3" xfId="5242"/>
    <cellStyle name="Normal 16 10 4" xfId="5243"/>
    <cellStyle name="Normal 16 11" xfId="5244"/>
    <cellStyle name="Normal 16 11 2" xfId="5245"/>
    <cellStyle name="Normal 16 11 3" xfId="5246"/>
    <cellStyle name="Normal 16 11 4" xfId="5247"/>
    <cellStyle name="Normal 16 12" xfId="5248"/>
    <cellStyle name="Normal 16 12 2" xfId="5249"/>
    <cellStyle name="Normal 16 12 3" xfId="5250"/>
    <cellStyle name="Normal 16 12 4" xfId="5251"/>
    <cellStyle name="Normal 16 13" xfId="5252"/>
    <cellStyle name="Normal 16 13 2" xfId="5253"/>
    <cellStyle name="Normal 16 13 3" xfId="5254"/>
    <cellStyle name="Normal 16 13 4" xfId="5255"/>
    <cellStyle name="Normal 16 14" xfId="5256"/>
    <cellStyle name="Normal 16 14 2" xfId="5257"/>
    <cellStyle name="Normal 16 14 3" xfId="5258"/>
    <cellStyle name="Normal 16 14 4" xfId="5259"/>
    <cellStyle name="Normal 16 15" xfId="5260"/>
    <cellStyle name="Normal 16 15 2" xfId="5261"/>
    <cellStyle name="Normal 16 15 3" xfId="5262"/>
    <cellStyle name="Normal 16 15 4" xfId="5263"/>
    <cellStyle name="Normal 16 16" xfId="5264"/>
    <cellStyle name="Normal 16 16 2" xfId="5265"/>
    <cellStyle name="Normal 16 16 3" xfId="5266"/>
    <cellStyle name="Normal 16 16 4" xfId="5267"/>
    <cellStyle name="Normal 16 17" xfId="5268"/>
    <cellStyle name="Normal 16 17 2" xfId="5269"/>
    <cellStyle name="Normal 16 18" xfId="5270"/>
    <cellStyle name="Normal 16 18 2" xfId="5271"/>
    <cellStyle name="Normal 16 19" xfId="5272"/>
    <cellStyle name="Normal 16 19 2" xfId="5273"/>
    <cellStyle name="Normal 16 2" xfId="5274"/>
    <cellStyle name="Normal 16 2 2" xfId="5275"/>
    <cellStyle name="Normal 16 2 3" xfId="5276"/>
    <cellStyle name="Normal 16 2 4" xfId="5277"/>
    <cellStyle name="Normal 16 20" xfId="5278"/>
    <cellStyle name="Normal 16 20 2" xfId="5279"/>
    <cellStyle name="Normal 16 21" xfId="5280"/>
    <cellStyle name="Normal 16 21 2" xfId="5281"/>
    <cellStyle name="Normal 16 22" xfId="5282"/>
    <cellStyle name="Normal 16 22 2" xfId="5283"/>
    <cellStyle name="Normal 16 23" xfId="5284"/>
    <cellStyle name="Normal 16 23 2" xfId="5285"/>
    <cellStyle name="Normal 16 24" xfId="5286"/>
    <cellStyle name="Normal 16 24 2" xfId="5287"/>
    <cellStyle name="Normal 16 25" xfId="5288"/>
    <cellStyle name="Normal 16 25 2" xfId="5289"/>
    <cellStyle name="Normal 16 26" xfId="5290"/>
    <cellStyle name="Normal 16 26 2" xfId="5291"/>
    <cellStyle name="Normal 16 27" xfId="5292"/>
    <cellStyle name="Normal 16 27 2" xfId="5293"/>
    <cellStyle name="Normal 16 28" xfId="5294"/>
    <cellStyle name="Normal 16 28 2" xfId="5295"/>
    <cellStyle name="Normal 16 29" xfId="5296"/>
    <cellStyle name="Normal 16 29 2" xfId="5297"/>
    <cellStyle name="Normal 16 3" xfId="5298"/>
    <cellStyle name="Normal 16 3 2" xfId="5299"/>
    <cellStyle name="Normal 16 3 3" xfId="5300"/>
    <cellStyle name="Normal 16 3 4" xfId="5301"/>
    <cellStyle name="Normal 16 30" xfId="5302"/>
    <cellStyle name="Normal 16 30 2" xfId="5303"/>
    <cellStyle name="Normal 16 31" xfId="5304"/>
    <cellStyle name="Normal 16 31 2" xfId="5305"/>
    <cellStyle name="Normal 16 32" xfId="5306"/>
    <cellStyle name="Normal 16 32 2" xfId="5307"/>
    <cellStyle name="Normal 16 33" xfId="5308"/>
    <cellStyle name="Normal 16 33 2" xfId="5309"/>
    <cellStyle name="Normal 16 34" xfId="5310"/>
    <cellStyle name="Normal 16 34 2" xfId="5311"/>
    <cellStyle name="Normal 16 35" xfId="5312"/>
    <cellStyle name="Normal 16 36" xfId="18653"/>
    <cellStyle name="Normal 16 4" xfId="5313"/>
    <cellStyle name="Normal 16 4 2" xfId="5314"/>
    <cellStyle name="Normal 16 4 3" xfId="5315"/>
    <cellStyle name="Normal 16 4 4" xfId="5316"/>
    <cellStyle name="Normal 16 5" xfId="5317"/>
    <cellStyle name="Normal 16 5 2" xfId="5318"/>
    <cellStyle name="Normal 16 5 3" xfId="5319"/>
    <cellStyle name="Normal 16 5 4" xfId="5320"/>
    <cellStyle name="Normal 16 6" xfId="5321"/>
    <cellStyle name="Normal 16 6 2" xfId="5322"/>
    <cellStyle name="Normal 16 6 3" xfId="5323"/>
    <cellStyle name="Normal 16 6 4" xfId="5324"/>
    <cellStyle name="Normal 16 7" xfId="5325"/>
    <cellStyle name="Normal 16 7 2" xfId="5326"/>
    <cellStyle name="Normal 16 7 3" xfId="5327"/>
    <cellStyle name="Normal 16 7 4" xfId="5328"/>
    <cellStyle name="Normal 16 8" xfId="5329"/>
    <cellStyle name="Normal 16 8 2" xfId="5330"/>
    <cellStyle name="Normal 16 8 3" xfId="5331"/>
    <cellStyle name="Normal 16 8 4" xfId="5332"/>
    <cellStyle name="Normal 16 9" xfId="5333"/>
    <cellStyle name="Normal 16 9 2" xfId="5334"/>
    <cellStyle name="Normal 16 9 3" xfId="5335"/>
    <cellStyle name="Normal 16 9 4" xfId="5336"/>
    <cellStyle name="Normal 160" xfId="18309"/>
    <cellStyle name="Normal 161" xfId="18310"/>
    <cellStyle name="Normal 162" xfId="18311"/>
    <cellStyle name="Normal 163" xfId="18312"/>
    <cellStyle name="Normal 164" xfId="18313"/>
    <cellStyle name="Normal 165" xfId="18314"/>
    <cellStyle name="Normal 166" xfId="18315"/>
    <cellStyle name="Normal 167" xfId="18316"/>
    <cellStyle name="Normal 168" xfId="18317"/>
    <cellStyle name="Normal 169" xfId="18318"/>
    <cellStyle name="Normal 17" xfId="5337"/>
    <cellStyle name="Normal 17 10" xfId="5338"/>
    <cellStyle name="Normal 17 10 2" xfId="5339"/>
    <cellStyle name="Normal 17 10 3" xfId="5340"/>
    <cellStyle name="Normal 17 10 4" xfId="5341"/>
    <cellStyle name="Normal 17 11" xfId="5342"/>
    <cellStyle name="Normal 17 11 2" xfId="5343"/>
    <cellStyle name="Normal 17 11 3" xfId="5344"/>
    <cellStyle name="Normal 17 11 4" xfId="5345"/>
    <cellStyle name="Normal 17 12" xfId="5346"/>
    <cellStyle name="Normal 17 12 2" xfId="5347"/>
    <cellStyle name="Normal 17 12 3" xfId="5348"/>
    <cellStyle name="Normal 17 12 4" xfId="5349"/>
    <cellStyle name="Normal 17 13" xfId="5350"/>
    <cellStyle name="Normal 17 13 2" xfId="5351"/>
    <cellStyle name="Normal 17 13 3" xfId="5352"/>
    <cellStyle name="Normal 17 13 4" xfId="5353"/>
    <cellStyle name="Normal 17 14" xfId="5354"/>
    <cellStyle name="Normal 17 14 2" xfId="5355"/>
    <cellStyle name="Normal 17 14 3" xfId="5356"/>
    <cellStyle name="Normal 17 14 4" xfId="5357"/>
    <cellStyle name="Normal 17 15" xfId="5358"/>
    <cellStyle name="Normal 17 15 2" xfId="5359"/>
    <cellStyle name="Normal 17 15 3" xfId="5360"/>
    <cellStyle name="Normal 17 15 4" xfId="5361"/>
    <cellStyle name="Normal 17 16" xfId="5362"/>
    <cellStyle name="Normal 17 16 2" xfId="5363"/>
    <cellStyle name="Normal 17 16 3" xfId="5364"/>
    <cellStyle name="Normal 17 16 4" xfId="5365"/>
    <cellStyle name="Normal 17 17" xfId="5366"/>
    <cellStyle name="Normal 17 17 2" xfId="5367"/>
    <cellStyle name="Normal 17 18" xfId="5368"/>
    <cellStyle name="Normal 17 18 2" xfId="5369"/>
    <cellStyle name="Normal 17 19" xfId="5370"/>
    <cellStyle name="Normal 17 19 2" xfId="5371"/>
    <cellStyle name="Normal 17 2" xfId="5372"/>
    <cellStyle name="Normal 17 2 2" xfId="5373"/>
    <cellStyle name="Normal 17 2 3" xfId="5374"/>
    <cellStyle name="Normal 17 2 4" xfId="5375"/>
    <cellStyle name="Normal 17 20" xfId="5376"/>
    <cellStyle name="Normal 17 20 2" xfId="5377"/>
    <cellStyle name="Normal 17 21" xfId="5378"/>
    <cellStyle name="Normal 17 21 2" xfId="5379"/>
    <cellStyle name="Normal 17 22" xfId="5380"/>
    <cellStyle name="Normal 17 22 2" xfId="5381"/>
    <cellStyle name="Normal 17 23" xfId="5382"/>
    <cellStyle name="Normal 17 23 2" xfId="5383"/>
    <cellStyle name="Normal 17 24" xfId="5384"/>
    <cellStyle name="Normal 17 24 2" xfId="5385"/>
    <cellStyle name="Normal 17 25" xfId="5386"/>
    <cellStyle name="Normal 17 25 2" xfId="5387"/>
    <cellStyle name="Normal 17 26" xfId="5388"/>
    <cellStyle name="Normal 17 26 2" xfId="5389"/>
    <cellStyle name="Normal 17 27" xfId="5390"/>
    <cellStyle name="Normal 17 27 2" xfId="5391"/>
    <cellStyle name="Normal 17 28" xfId="5392"/>
    <cellStyle name="Normal 17 28 2" xfId="5393"/>
    <cellStyle name="Normal 17 29" xfId="5394"/>
    <cellStyle name="Normal 17 29 2" xfId="5395"/>
    <cellStyle name="Normal 17 3" xfId="5396"/>
    <cellStyle name="Normal 17 3 2" xfId="5397"/>
    <cellStyle name="Normal 17 3 3" xfId="5398"/>
    <cellStyle name="Normal 17 3 4" xfId="5399"/>
    <cellStyle name="Normal 17 30" xfId="5400"/>
    <cellStyle name="Normal 17 30 2" xfId="5401"/>
    <cellStyle name="Normal 17 31" xfId="5402"/>
    <cellStyle name="Normal 17 31 2" xfId="5403"/>
    <cellStyle name="Normal 17 32" xfId="5404"/>
    <cellStyle name="Normal 17 32 2" xfId="5405"/>
    <cellStyle name="Normal 17 33" xfId="5406"/>
    <cellStyle name="Normal 17 33 2" xfId="5407"/>
    <cellStyle name="Normal 17 34" xfId="5408"/>
    <cellStyle name="Normal 17 34 2" xfId="5409"/>
    <cellStyle name="Normal 17 35" xfId="5410"/>
    <cellStyle name="Normal 17 36" xfId="18654"/>
    <cellStyle name="Normal 17 4" xfId="5411"/>
    <cellStyle name="Normal 17 4 2" xfId="5412"/>
    <cellStyle name="Normal 17 4 3" xfId="5413"/>
    <cellStyle name="Normal 17 4 4" xfId="5414"/>
    <cellStyle name="Normal 17 5" xfId="5415"/>
    <cellStyle name="Normal 17 5 2" xfId="5416"/>
    <cellStyle name="Normal 17 5 3" xfId="5417"/>
    <cellStyle name="Normal 17 5 4" xfId="5418"/>
    <cellStyle name="Normal 17 6" xfId="5419"/>
    <cellStyle name="Normal 17 6 2" xfId="5420"/>
    <cellStyle name="Normal 17 6 3" xfId="5421"/>
    <cellStyle name="Normal 17 6 4" xfId="5422"/>
    <cellStyle name="Normal 17 7" xfId="5423"/>
    <cellStyle name="Normal 17 7 2" xfId="5424"/>
    <cellStyle name="Normal 17 7 3" xfId="5425"/>
    <cellStyle name="Normal 17 7 4" xfId="5426"/>
    <cellStyle name="Normal 17 8" xfId="5427"/>
    <cellStyle name="Normal 17 8 2" xfId="5428"/>
    <cellStyle name="Normal 17 8 3" xfId="5429"/>
    <cellStyle name="Normal 17 8 4" xfId="5430"/>
    <cellStyle name="Normal 17 9" xfId="5431"/>
    <cellStyle name="Normal 17 9 2" xfId="5432"/>
    <cellStyle name="Normal 17 9 3" xfId="5433"/>
    <cellStyle name="Normal 17 9 4" xfId="5434"/>
    <cellStyle name="Normal 170" xfId="18319"/>
    <cellStyle name="Normal 171" xfId="18320"/>
    <cellStyle name="Normal 172" xfId="18321"/>
    <cellStyle name="Normal 173" xfId="18322"/>
    <cellStyle name="Normal 174" xfId="18323"/>
    <cellStyle name="Normal 175" xfId="18324"/>
    <cellStyle name="Normal 176" xfId="18325"/>
    <cellStyle name="Normal 177" xfId="18326"/>
    <cellStyle name="Normal 178" xfId="18327"/>
    <cellStyle name="Normal 179" xfId="18328"/>
    <cellStyle name="Normal 18" xfId="5435"/>
    <cellStyle name="Normal 18 10" xfId="5436"/>
    <cellStyle name="Normal 18 10 2" xfId="5437"/>
    <cellStyle name="Normal 18 10 3" xfId="5438"/>
    <cellStyle name="Normal 18 10 4" xfId="5439"/>
    <cellStyle name="Normal 18 11" xfId="5440"/>
    <cellStyle name="Normal 18 11 2" xfId="5441"/>
    <cellStyle name="Normal 18 11 3" xfId="5442"/>
    <cellStyle name="Normal 18 11 4" xfId="5443"/>
    <cellStyle name="Normal 18 12" xfId="5444"/>
    <cellStyle name="Normal 18 12 2" xfId="5445"/>
    <cellStyle name="Normal 18 12 3" xfId="5446"/>
    <cellStyle name="Normal 18 12 4" xfId="5447"/>
    <cellStyle name="Normal 18 13" xfId="5448"/>
    <cellStyle name="Normal 18 13 2" xfId="5449"/>
    <cellStyle name="Normal 18 13 3" xfId="5450"/>
    <cellStyle name="Normal 18 13 4" xfId="5451"/>
    <cellStyle name="Normal 18 14" xfId="5452"/>
    <cellStyle name="Normal 18 14 2" xfId="5453"/>
    <cellStyle name="Normal 18 14 3" xfId="5454"/>
    <cellStyle name="Normal 18 14 4" xfId="5455"/>
    <cellStyle name="Normal 18 15" xfId="5456"/>
    <cellStyle name="Normal 18 15 2" xfId="5457"/>
    <cellStyle name="Normal 18 15 3" xfId="5458"/>
    <cellStyle name="Normal 18 15 4" xfId="5459"/>
    <cellStyle name="Normal 18 16" xfId="5460"/>
    <cellStyle name="Normal 18 16 2" xfId="5461"/>
    <cellStyle name="Normal 18 16 3" xfId="5462"/>
    <cellStyle name="Normal 18 16 4" xfId="5463"/>
    <cellStyle name="Normal 18 17" xfId="5464"/>
    <cellStyle name="Normal 18 17 2" xfId="5465"/>
    <cellStyle name="Normal 18 18" xfId="5466"/>
    <cellStyle name="Normal 18 18 2" xfId="5467"/>
    <cellStyle name="Normal 18 19" xfId="5468"/>
    <cellStyle name="Normal 18 19 2" xfId="5469"/>
    <cellStyle name="Normal 18 2" xfId="5470"/>
    <cellStyle name="Normal 18 2 2" xfId="5471"/>
    <cellStyle name="Normal 18 2 3" xfId="5472"/>
    <cellStyle name="Normal 18 2 4" xfId="5473"/>
    <cellStyle name="Normal 18 20" xfId="5474"/>
    <cellStyle name="Normal 18 20 2" xfId="5475"/>
    <cellStyle name="Normal 18 21" xfId="5476"/>
    <cellStyle name="Normal 18 21 2" xfId="5477"/>
    <cellStyle name="Normal 18 22" xfId="5478"/>
    <cellStyle name="Normal 18 22 2" xfId="5479"/>
    <cellStyle name="Normal 18 23" xfId="5480"/>
    <cellStyle name="Normal 18 23 2" xfId="5481"/>
    <cellStyle name="Normal 18 24" xfId="5482"/>
    <cellStyle name="Normal 18 24 2" xfId="5483"/>
    <cellStyle name="Normal 18 25" xfId="5484"/>
    <cellStyle name="Normal 18 25 2" xfId="5485"/>
    <cellStyle name="Normal 18 26" xfId="5486"/>
    <cellStyle name="Normal 18 26 2" xfId="5487"/>
    <cellStyle name="Normal 18 27" xfId="5488"/>
    <cellStyle name="Normal 18 27 2" xfId="5489"/>
    <cellStyle name="Normal 18 28" xfId="5490"/>
    <cellStyle name="Normal 18 28 2" xfId="5491"/>
    <cellStyle name="Normal 18 29" xfId="5492"/>
    <cellStyle name="Normal 18 29 2" xfId="5493"/>
    <cellStyle name="Normal 18 3" xfId="5494"/>
    <cellStyle name="Normal 18 3 2" xfId="5495"/>
    <cellStyle name="Normal 18 3 3" xfId="5496"/>
    <cellStyle name="Normal 18 3 4" xfId="5497"/>
    <cellStyle name="Normal 18 30" xfId="5498"/>
    <cellStyle name="Normal 18 30 2" xfId="5499"/>
    <cellStyle name="Normal 18 31" xfId="5500"/>
    <cellStyle name="Normal 18 31 2" xfId="5501"/>
    <cellStyle name="Normal 18 32" xfId="5502"/>
    <cellStyle name="Normal 18 32 2" xfId="5503"/>
    <cellStyle name="Normal 18 33" xfId="5504"/>
    <cellStyle name="Normal 18 33 2" xfId="5505"/>
    <cellStyle name="Normal 18 34" xfId="5506"/>
    <cellStyle name="Normal 18 34 2" xfId="5507"/>
    <cellStyle name="Normal 18 35" xfId="5508"/>
    <cellStyle name="Normal 18 36" xfId="18655"/>
    <cellStyle name="Normal 18 4" xfId="5509"/>
    <cellStyle name="Normal 18 4 2" xfId="5510"/>
    <cellStyle name="Normal 18 4 3" xfId="5511"/>
    <cellStyle name="Normal 18 4 4" xfId="5512"/>
    <cellStyle name="Normal 18 5" xfId="5513"/>
    <cellStyle name="Normal 18 5 2" xfId="5514"/>
    <cellStyle name="Normal 18 5 3" xfId="5515"/>
    <cellStyle name="Normal 18 5 4" xfId="5516"/>
    <cellStyle name="Normal 18 6" xfId="5517"/>
    <cellStyle name="Normal 18 6 2" xfId="5518"/>
    <cellStyle name="Normal 18 6 3" xfId="5519"/>
    <cellStyle name="Normal 18 6 4" xfId="5520"/>
    <cellStyle name="Normal 18 7" xfId="5521"/>
    <cellStyle name="Normal 18 7 2" xfId="5522"/>
    <cellStyle name="Normal 18 7 3" xfId="5523"/>
    <cellStyle name="Normal 18 7 4" xfId="5524"/>
    <cellStyle name="Normal 18 8" xfId="5525"/>
    <cellStyle name="Normal 18 8 2" xfId="5526"/>
    <cellStyle name="Normal 18 8 3" xfId="5527"/>
    <cellStyle name="Normal 18 8 4" xfId="5528"/>
    <cellStyle name="Normal 18 9" xfId="5529"/>
    <cellStyle name="Normal 18 9 2" xfId="5530"/>
    <cellStyle name="Normal 18 9 3" xfId="5531"/>
    <cellStyle name="Normal 18 9 4" xfId="5532"/>
    <cellStyle name="Normal 180" xfId="18329"/>
    <cellStyle name="Normal 181" xfId="18330"/>
    <cellStyle name="Normal 182" xfId="18331"/>
    <cellStyle name="Normal 183" xfId="18332"/>
    <cellStyle name="Normal 184" xfId="18333"/>
    <cellStyle name="Normal 185" xfId="18334"/>
    <cellStyle name="Normal 186" xfId="18335"/>
    <cellStyle name="Normal 187" xfId="18336"/>
    <cellStyle name="Normal 188" xfId="18337"/>
    <cellStyle name="Normal 189" xfId="18338"/>
    <cellStyle name="Normal 19" xfId="5533"/>
    <cellStyle name="Normal 19 10" xfId="5534"/>
    <cellStyle name="Normal 19 10 2" xfId="5535"/>
    <cellStyle name="Normal 19 10 3" xfId="5536"/>
    <cellStyle name="Normal 19 10 4" xfId="5537"/>
    <cellStyle name="Normal 19 11" xfId="5538"/>
    <cellStyle name="Normal 19 11 2" xfId="5539"/>
    <cellStyle name="Normal 19 11 3" xfId="5540"/>
    <cellStyle name="Normal 19 11 4" xfId="5541"/>
    <cellStyle name="Normal 19 12" xfId="5542"/>
    <cellStyle name="Normal 19 12 2" xfId="5543"/>
    <cellStyle name="Normal 19 12 3" xfId="5544"/>
    <cellStyle name="Normal 19 12 4" xfId="5545"/>
    <cellStyle name="Normal 19 13" xfId="5546"/>
    <cellStyle name="Normal 19 13 2" xfId="5547"/>
    <cellStyle name="Normal 19 13 3" xfId="5548"/>
    <cellStyle name="Normal 19 13 4" xfId="5549"/>
    <cellStyle name="Normal 19 14" xfId="5550"/>
    <cellStyle name="Normal 19 14 2" xfId="5551"/>
    <cellStyle name="Normal 19 14 3" xfId="5552"/>
    <cellStyle name="Normal 19 14 4" xfId="5553"/>
    <cellStyle name="Normal 19 15" xfId="5554"/>
    <cellStyle name="Normal 19 15 2" xfId="5555"/>
    <cellStyle name="Normal 19 15 3" xfId="5556"/>
    <cellStyle name="Normal 19 15 4" xfId="5557"/>
    <cellStyle name="Normal 19 16" xfId="5558"/>
    <cellStyle name="Normal 19 16 2" xfId="5559"/>
    <cellStyle name="Normal 19 16 3" xfId="5560"/>
    <cellStyle name="Normal 19 16 4" xfId="5561"/>
    <cellStyle name="Normal 19 17" xfId="5562"/>
    <cellStyle name="Normal 19 17 2" xfId="5563"/>
    <cellStyle name="Normal 19 18" xfId="5564"/>
    <cellStyle name="Normal 19 18 2" xfId="5565"/>
    <cellStyle name="Normal 19 19" xfId="5566"/>
    <cellStyle name="Normal 19 19 2" xfId="5567"/>
    <cellStyle name="Normal 19 2" xfId="5568"/>
    <cellStyle name="Normal 19 2 2" xfId="5569"/>
    <cellStyle name="Normal 19 2 3" xfId="5570"/>
    <cellStyle name="Normal 19 2 4" xfId="5571"/>
    <cellStyle name="Normal 19 20" xfId="5572"/>
    <cellStyle name="Normal 19 20 2" xfId="5573"/>
    <cellStyle name="Normal 19 21" xfId="5574"/>
    <cellStyle name="Normal 19 21 2" xfId="5575"/>
    <cellStyle name="Normal 19 22" xfId="5576"/>
    <cellStyle name="Normal 19 22 2" xfId="5577"/>
    <cellStyle name="Normal 19 23" xfId="5578"/>
    <cellStyle name="Normal 19 23 2" xfId="5579"/>
    <cellStyle name="Normal 19 24" xfId="5580"/>
    <cellStyle name="Normal 19 24 2" xfId="5581"/>
    <cellStyle name="Normal 19 25" xfId="5582"/>
    <cellStyle name="Normal 19 25 2" xfId="5583"/>
    <cellStyle name="Normal 19 26" xfId="5584"/>
    <cellStyle name="Normal 19 26 2" xfId="5585"/>
    <cellStyle name="Normal 19 27" xfId="5586"/>
    <cellStyle name="Normal 19 27 2" xfId="5587"/>
    <cellStyle name="Normal 19 28" xfId="5588"/>
    <cellStyle name="Normal 19 28 2" xfId="5589"/>
    <cellStyle name="Normal 19 29" xfId="5590"/>
    <cellStyle name="Normal 19 29 2" xfId="5591"/>
    <cellStyle name="Normal 19 3" xfId="5592"/>
    <cellStyle name="Normal 19 3 2" xfId="5593"/>
    <cellStyle name="Normal 19 3 3" xfId="5594"/>
    <cellStyle name="Normal 19 3 4" xfId="5595"/>
    <cellStyle name="Normal 19 30" xfId="5596"/>
    <cellStyle name="Normal 19 30 2" xfId="5597"/>
    <cellStyle name="Normal 19 31" xfId="5598"/>
    <cellStyle name="Normal 19 31 2" xfId="5599"/>
    <cellStyle name="Normal 19 32" xfId="5600"/>
    <cellStyle name="Normal 19 32 2" xfId="5601"/>
    <cellStyle name="Normal 19 33" xfId="5602"/>
    <cellStyle name="Normal 19 33 2" xfId="5603"/>
    <cellStyle name="Normal 19 34" xfId="5604"/>
    <cellStyle name="Normal 19 34 2" xfId="5605"/>
    <cellStyle name="Normal 19 35" xfId="5606"/>
    <cellStyle name="Normal 19 36" xfId="18656"/>
    <cellStyle name="Normal 19 4" xfId="5607"/>
    <cellStyle name="Normal 19 4 2" xfId="5608"/>
    <cellStyle name="Normal 19 4 3" xfId="5609"/>
    <cellStyle name="Normal 19 4 4" xfId="5610"/>
    <cellStyle name="Normal 19 5" xfId="5611"/>
    <cellStyle name="Normal 19 5 2" xfId="5612"/>
    <cellStyle name="Normal 19 5 3" xfId="5613"/>
    <cellStyle name="Normal 19 5 4" xfId="5614"/>
    <cellStyle name="Normal 19 6" xfId="5615"/>
    <cellStyle name="Normal 19 6 2" xfId="5616"/>
    <cellStyle name="Normal 19 6 3" xfId="5617"/>
    <cellStyle name="Normal 19 6 4" xfId="5618"/>
    <cellStyle name="Normal 19 7" xfId="5619"/>
    <cellStyle name="Normal 19 7 2" xfId="5620"/>
    <cellStyle name="Normal 19 7 3" xfId="5621"/>
    <cellStyle name="Normal 19 7 4" xfId="5622"/>
    <cellStyle name="Normal 19 8" xfId="5623"/>
    <cellStyle name="Normal 19 8 2" xfId="5624"/>
    <cellStyle name="Normal 19 8 3" xfId="5625"/>
    <cellStyle name="Normal 19 8 4" xfId="5626"/>
    <cellStyle name="Normal 19 9" xfId="5627"/>
    <cellStyle name="Normal 19 9 2" xfId="5628"/>
    <cellStyle name="Normal 19 9 3" xfId="5629"/>
    <cellStyle name="Normal 19 9 4" xfId="5630"/>
    <cellStyle name="Normal 190" xfId="18339"/>
    <cellStyle name="Normal 191" xfId="18340"/>
    <cellStyle name="Normal 192" xfId="18341"/>
    <cellStyle name="Normal 193" xfId="18342"/>
    <cellStyle name="Normal 194" xfId="18343"/>
    <cellStyle name="Normal 195" xfId="18344"/>
    <cellStyle name="Normal 196" xfId="18345"/>
    <cellStyle name="Normal 197" xfId="18346"/>
    <cellStyle name="Normal 198" xfId="18347"/>
    <cellStyle name="Normal 199" xfId="18348"/>
    <cellStyle name="Normal 2" xfId="11"/>
    <cellStyle name="Normal 2 10" xfId="5631"/>
    <cellStyle name="Normal 2 10 2" xfId="5632"/>
    <cellStyle name="Normal 2 100" xfId="18349"/>
    <cellStyle name="Normal 2 101" xfId="18350"/>
    <cellStyle name="Normal 2 102" xfId="18641"/>
    <cellStyle name="Normal 2 11" xfId="5633"/>
    <cellStyle name="Normal 2 12" xfId="5634"/>
    <cellStyle name="Normal 2 12 2" xfId="5635"/>
    <cellStyle name="Normal 2 12 2 2" xfId="5636"/>
    <cellStyle name="Normal 2 12 2 3" xfId="5637"/>
    <cellStyle name="Normal 2 12 3" xfId="5638"/>
    <cellStyle name="Normal 2 12 3 2" xfId="5639"/>
    <cellStyle name="Normal 2 12 3 2 2" xfId="5640"/>
    <cellStyle name="Normal 2 12 3 2 2 2" xfId="5641"/>
    <cellStyle name="Normal 2 12 3 2 3" xfId="5642"/>
    <cellStyle name="Normal 2 12 3 3" xfId="5643"/>
    <cellStyle name="Normal 2 12 3 3 2" xfId="5644"/>
    <cellStyle name="Normal 2 12 3 4" xfId="5645"/>
    <cellStyle name="Normal 2 12 4" xfId="5646"/>
    <cellStyle name="Normal 2 13" xfId="5647"/>
    <cellStyle name="Normal 2 14" xfId="5648"/>
    <cellStyle name="Normal 2 15" xfId="5649"/>
    <cellStyle name="Normal 2 16" xfId="5650"/>
    <cellStyle name="Normal 2 17" xfId="5651"/>
    <cellStyle name="Normal 2 17 10" xfId="5652"/>
    <cellStyle name="Normal 2 17 11" xfId="5653"/>
    <cellStyle name="Normal 2 17 12" xfId="5654"/>
    <cellStyle name="Normal 2 17 13" xfId="5655"/>
    <cellStyle name="Normal 2 17 14" xfId="5656"/>
    <cellStyle name="Normal 2 17 15" xfId="5657"/>
    <cellStyle name="Normal 2 17 16" xfId="5658"/>
    <cellStyle name="Normal 2 17 17" xfId="5659"/>
    <cellStyle name="Normal 2 17 18" xfId="5660"/>
    <cellStyle name="Normal 2 17 19" xfId="5661"/>
    <cellStyle name="Normal 2 17 2" xfId="5662"/>
    <cellStyle name="Normal 2 17 20" xfId="5663"/>
    <cellStyle name="Normal 2 17 21" xfId="5664"/>
    <cellStyle name="Normal 2 17 22" xfId="5665"/>
    <cellStyle name="Normal 2 17 23" xfId="5666"/>
    <cellStyle name="Normal 2 17 24" xfId="5667"/>
    <cellStyle name="Normal 2 17 3" xfId="5668"/>
    <cellStyle name="Normal 2 17 4" xfId="5669"/>
    <cellStyle name="Normal 2 17 5" xfId="5670"/>
    <cellStyle name="Normal 2 17 6" xfId="5671"/>
    <cellStyle name="Normal 2 17 7" xfId="5672"/>
    <cellStyle name="Normal 2 17 8" xfId="5673"/>
    <cellStyle name="Normal 2 17 9" xfId="5674"/>
    <cellStyle name="Normal 2 18" xfId="5675"/>
    <cellStyle name="Normal 2 18 10" xfId="5676"/>
    <cellStyle name="Normal 2 18 11" xfId="5677"/>
    <cellStyle name="Normal 2 18 12" xfId="5678"/>
    <cellStyle name="Normal 2 18 13" xfId="5679"/>
    <cellStyle name="Normal 2 18 14" xfId="5680"/>
    <cellStyle name="Normal 2 18 15" xfId="5681"/>
    <cellStyle name="Normal 2 18 16" xfId="5682"/>
    <cellStyle name="Normal 2 18 17" xfId="5683"/>
    <cellStyle name="Normal 2 18 18" xfId="5684"/>
    <cellStyle name="Normal 2 18 19" xfId="5685"/>
    <cellStyle name="Normal 2 18 2" xfId="5686"/>
    <cellStyle name="Normal 2 18 20" xfId="5687"/>
    <cellStyle name="Normal 2 18 21" xfId="5688"/>
    <cellStyle name="Normal 2 18 22" xfId="5689"/>
    <cellStyle name="Normal 2 18 23" xfId="5690"/>
    <cellStyle name="Normal 2 18 24" xfId="5691"/>
    <cellStyle name="Normal 2 18 3" xfId="5692"/>
    <cellStyle name="Normal 2 18 4" xfId="5693"/>
    <cellStyle name="Normal 2 18 5" xfId="5694"/>
    <cellStyle name="Normal 2 18 6" xfId="5695"/>
    <cellStyle name="Normal 2 18 7" xfId="5696"/>
    <cellStyle name="Normal 2 18 8" xfId="5697"/>
    <cellStyle name="Normal 2 18 9" xfId="5698"/>
    <cellStyle name="Normal 2 19" xfId="5699"/>
    <cellStyle name="Normal 2 19 10" xfId="5700"/>
    <cellStyle name="Normal 2 19 11" xfId="5701"/>
    <cellStyle name="Normal 2 19 12" xfId="5702"/>
    <cellStyle name="Normal 2 19 13" xfId="5703"/>
    <cellStyle name="Normal 2 19 14" xfId="5704"/>
    <cellStyle name="Normal 2 19 15" xfId="5705"/>
    <cellStyle name="Normal 2 19 16" xfId="5706"/>
    <cellStyle name="Normal 2 19 17" xfId="5707"/>
    <cellStyle name="Normal 2 19 18" xfId="5708"/>
    <cellStyle name="Normal 2 19 19" xfId="5709"/>
    <cellStyle name="Normal 2 19 2" xfId="5710"/>
    <cellStyle name="Normal 2 19 20" xfId="5711"/>
    <cellStyle name="Normal 2 19 21" xfId="5712"/>
    <cellStyle name="Normal 2 19 22" xfId="5713"/>
    <cellStyle name="Normal 2 19 23" xfId="5714"/>
    <cellStyle name="Normal 2 19 24" xfId="5715"/>
    <cellStyle name="Normal 2 19 3" xfId="5716"/>
    <cellStyle name="Normal 2 19 4" xfId="5717"/>
    <cellStyle name="Normal 2 19 5" xfId="5718"/>
    <cellStyle name="Normal 2 19 6" xfId="5719"/>
    <cellStyle name="Normal 2 19 7" xfId="5720"/>
    <cellStyle name="Normal 2 19 8" xfId="5721"/>
    <cellStyle name="Normal 2 19 9" xfId="5722"/>
    <cellStyle name="Normal 2 2" xfId="5723"/>
    <cellStyle name="Normal 2 2 10" xfId="5724"/>
    <cellStyle name="Normal 2 2 11" xfId="5725"/>
    <cellStyle name="Normal 2 2 12" xfId="5726"/>
    <cellStyle name="Normal 2 2 13" xfId="5727"/>
    <cellStyle name="Normal 2 2 14" xfId="5728"/>
    <cellStyle name="Normal 2 2 15" xfId="5729"/>
    <cellStyle name="Normal 2 2 16" xfId="5730"/>
    <cellStyle name="Normal 2 2 17" xfId="5731"/>
    <cellStyle name="Normal 2 2 18" xfId="5732"/>
    <cellStyle name="Normal 2 2 19" xfId="5733"/>
    <cellStyle name="Normal 2 2 2" xfId="5734"/>
    <cellStyle name="Normal 2 2 2 10" xfId="5735"/>
    <cellStyle name="Normal 2 2 2 11" xfId="5736"/>
    <cellStyle name="Normal 2 2 2 12" xfId="5737"/>
    <cellStyle name="Normal 2 2 2 13" xfId="5738"/>
    <cellStyle name="Normal 2 2 2 14" xfId="5739"/>
    <cellStyle name="Normal 2 2 2 15" xfId="5740"/>
    <cellStyle name="Normal 2 2 2 16" xfId="5741"/>
    <cellStyle name="Normal 2 2 2 17" xfId="5742"/>
    <cellStyle name="Normal 2 2 2 18" xfId="5743"/>
    <cellStyle name="Normal 2 2 2 19" xfId="5744"/>
    <cellStyle name="Normal 2 2 2 2" xfId="5745"/>
    <cellStyle name="Normal 2 2 2 2 10" xfId="5746"/>
    <cellStyle name="Normal 2 2 2 2 10 2" xfId="5747"/>
    <cellStyle name="Normal 2 2 2 2 11" xfId="5748"/>
    <cellStyle name="Normal 2 2 2 2 11 10" xfId="5749"/>
    <cellStyle name="Normal 2 2 2 2 11 11" xfId="5750"/>
    <cellStyle name="Normal 2 2 2 2 11 12" xfId="5751"/>
    <cellStyle name="Normal 2 2 2 2 11 13" xfId="5752"/>
    <cellStyle name="Normal 2 2 2 2 11 14" xfId="5753"/>
    <cellStyle name="Normal 2 2 2 2 11 15" xfId="5754"/>
    <cellStyle name="Normal 2 2 2 2 11 16" xfId="5755"/>
    <cellStyle name="Normal 2 2 2 2 11 17" xfId="5756"/>
    <cellStyle name="Normal 2 2 2 2 11 18" xfId="5757"/>
    <cellStyle name="Normal 2 2 2 2 11 19" xfId="5758"/>
    <cellStyle name="Normal 2 2 2 2 11 2" xfId="5759"/>
    <cellStyle name="Normal 2 2 2 2 11 20" xfId="5760"/>
    <cellStyle name="Normal 2 2 2 2 11 21" xfId="5761"/>
    <cellStyle name="Normal 2 2 2 2 11 22" xfId="5762"/>
    <cellStyle name="Normal 2 2 2 2 11 23" xfId="5763"/>
    <cellStyle name="Normal 2 2 2 2 11 24" xfId="5764"/>
    <cellStyle name="Normal 2 2 2 2 11 3" xfId="5765"/>
    <cellStyle name="Normal 2 2 2 2 11 4" xfId="5766"/>
    <cellStyle name="Normal 2 2 2 2 11 5" xfId="5767"/>
    <cellStyle name="Normal 2 2 2 2 11 6" xfId="5768"/>
    <cellStyle name="Normal 2 2 2 2 11 7" xfId="5769"/>
    <cellStyle name="Normal 2 2 2 2 11 8" xfId="5770"/>
    <cellStyle name="Normal 2 2 2 2 11 9" xfId="5771"/>
    <cellStyle name="Normal 2 2 2 2 12" xfId="5772"/>
    <cellStyle name="Normal 2 2 2 2 12 10" xfId="5773"/>
    <cellStyle name="Normal 2 2 2 2 12 11" xfId="5774"/>
    <cellStyle name="Normal 2 2 2 2 12 12" xfId="5775"/>
    <cellStyle name="Normal 2 2 2 2 12 13" xfId="5776"/>
    <cellStyle name="Normal 2 2 2 2 12 14" xfId="5777"/>
    <cellStyle name="Normal 2 2 2 2 12 15" xfId="5778"/>
    <cellStyle name="Normal 2 2 2 2 12 16" xfId="5779"/>
    <cellStyle name="Normal 2 2 2 2 12 17" xfId="5780"/>
    <cellStyle name="Normal 2 2 2 2 12 18" xfId="5781"/>
    <cellStyle name="Normal 2 2 2 2 12 19" xfId="5782"/>
    <cellStyle name="Normal 2 2 2 2 12 2" xfId="5783"/>
    <cellStyle name="Normal 2 2 2 2 12 20" xfId="5784"/>
    <cellStyle name="Normal 2 2 2 2 12 21" xfId="5785"/>
    <cellStyle name="Normal 2 2 2 2 12 22" xfId="5786"/>
    <cellStyle name="Normal 2 2 2 2 12 23" xfId="5787"/>
    <cellStyle name="Normal 2 2 2 2 12 24" xfId="5788"/>
    <cellStyle name="Normal 2 2 2 2 12 3" xfId="5789"/>
    <cellStyle name="Normal 2 2 2 2 12 4" xfId="5790"/>
    <cellStyle name="Normal 2 2 2 2 12 5" xfId="5791"/>
    <cellStyle name="Normal 2 2 2 2 12 6" xfId="5792"/>
    <cellStyle name="Normal 2 2 2 2 12 7" xfId="5793"/>
    <cellStyle name="Normal 2 2 2 2 12 8" xfId="5794"/>
    <cellStyle name="Normal 2 2 2 2 12 9" xfId="5795"/>
    <cellStyle name="Normal 2 2 2 2 13" xfId="5796"/>
    <cellStyle name="Normal 2 2 2 2 13 10" xfId="5797"/>
    <cellStyle name="Normal 2 2 2 2 13 11" xfId="5798"/>
    <cellStyle name="Normal 2 2 2 2 13 12" xfId="5799"/>
    <cellStyle name="Normal 2 2 2 2 13 13" xfId="5800"/>
    <cellStyle name="Normal 2 2 2 2 13 14" xfId="5801"/>
    <cellStyle name="Normal 2 2 2 2 13 15" xfId="5802"/>
    <cellStyle name="Normal 2 2 2 2 13 16" xfId="5803"/>
    <cellStyle name="Normal 2 2 2 2 13 17" xfId="5804"/>
    <cellStyle name="Normal 2 2 2 2 13 18" xfId="5805"/>
    <cellStyle name="Normal 2 2 2 2 13 19" xfId="5806"/>
    <cellStyle name="Normal 2 2 2 2 13 2" xfId="5807"/>
    <cellStyle name="Normal 2 2 2 2 13 20" xfId="5808"/>
    <cellStyle name="Normal 2 2 2 2 13 21" xfId="5809"/>
    <cellStyle name="Normal 2 2 2 2 13 22" xfId="5810"/>
    <cellStyle name="Normal 2 2 2 2 13 23" xfId="5811"/>
    <cellStyle name="Normal 2 2 2 2 13 24" xfId="5812"/>
    <cellStyle name="Normal 2 2 2 2 13 3" xfId="5813"/>
    <cellStyle name="Normal 2 2 2 2 13 4" xfId="5814"/>
    <cellStyle name="Normal 2 2 2 2 13 5" xfId="5815"/>
    <cellStyle name="Normal 2 2 2 2 13 6" xfId="5816"/>
    <cellStyle name="Normal 2 2 2 2 13 7" xfId="5817"/>
    <cellStyle name="Normal 2 2 2 2 13 8" xfId="5818"/>
    <cellStyle name="Normal 2 2 2 2 13 9" xfId="5819"/>
    <cellStyle name="Normal 2 2 2 2 14" xfId="5820"/>
    <cellStyle name="Normal 2 2 2 2 14 10" xfId="5821"/>
    <cellStyle name="Normal 2 2 2 2 14 11" xfId="5822"/>
    <cellStyle name="Normal 2 2 2 2 14 12" xfId="5823"/>
    <cellStyle name="Normal 2 2 2 2 14 13" xfId="5824"/>
    <cellStyle name="Normal 2 2 2 2 14 14" xfId="5825"/>
    <cellStyle name="Normal 2 2 2 2 14 15" xfId="5826"/>
    <cellStyle name="Normal 2 2 2 2 14 16" xfId="5827"/>
    <cellStyle name="Normal 2 2 2 2 14 17" xfId="5828"/>
    <cellStyle name="Normal 2 2 2 2 14 18" xfId="5829"/>
    <cellStyle name="Normal 2 2 2 2 14 19" xfId="5830"/>
    <cellStyle name="Normal 2 2 2 2 14 2" xfId="5831"/>
    <cellStyle name="Normal 2 2 2 2 14 20" xfId="5832"/>
    <cellStyle name="Normal 2 2 2 2 14 21" xfId="5833"/>
    <cellStyle name="Normal 2 2 2 2 14 22" xfId="5834"/>
    <cellStyle name="Normal 2 2 2 2 14 23" xfId="5835"/>
    <cellStyle name="Normal 2 2 2 2 14 24" xfId="5836"/>
    <cellStyle name="Normal 2 2 2 2 14 3" xfId="5837"/>
    <cellStyle name="Normal 2 2 2 2 14 4" xfId="5838"/>
    <cellStyle name="Normal 2 2 2 2 14 5" xfId="5839"/>
    <cellStyle name="Normal 2 2 2 2 14 6" xfId="5840"/>
    <cellStyle name="Normal 2 2 2 2 14 7" xfId="5841"/>
    <cellStyle name="Normal 2 2 2 2 14 8" xfId="5842"/>
    <cellStyle name="Normal 2 2 2 2 14 9" xfId="5843"/>
    <cellStyle name="Normal 2 2 2 2 15" xfId="5844"/>
    <cellStyle name="Normal 2 2 2 2 15 10" xfId="5845"/>
    <cellStyle name="Normal 2 2 2 2 15 11" xfId="5846"/>
    <cellStyle name="Normal 2 2 2 2 15 12" xfId="5847"/>
    <cellStyle name="Normal 2 2 2 2 15 13" xfId="5848"/>
    <cellStyle name="Normal 2 2 2 2 15 14" xfId="5849"/>
    <cellStyle name="Normal 2 2 2 2 15 15" xfId="5850"/>
    <cellStyle name="Normal 2 2 2 2 15 16" xfId="5851"/>
    <cellStyle name="Normal 2 2 2 2 15 17" xfId="5852"/>
    <cellStyle name="Normal 2 2 2 2 15 18" xfId="5853"/>
    <cellStyle name="Normal 2 2 2 2 15 19" xfId="5854"/>
    <cellStyle name="Normal 2 2 2 2 15 2" xfId="5855"/>
    <cellStyle name="Normal 2 2 2 2 15 20" xfId="5856"/>
    <cellStyle name="Normal 2 2 2 2 15 21" xfId="5857"/>
    <cellStyle name="Normal 2 2 2 2 15 22" xfId="5858"/>
    <cellStyle name="Normal 2 2 2 2 15 23" xfId="5859"/>
    <cellStyle name="Normal 2 2 2 2 15 24" xfId="5860"/>
    <cellStyle name="Normal 2 2 2 2 15 3" xfId="5861"/>
    <cellStyle name="Normal 2 2 2 2 15 4" xfId="5862"/>
    <cellStyle name="Normal 2 2 2 2 15 5" xfId="5863"/>
    <cellStyle name="Normal 2 2 2 2 15 6" xfId="5864"/>
    <cellStyle name="Normal 2 2 2 2 15 7" xfId="5865"/>
    <cellStyle name="Normal 2 2 2 2 15 8" xfId="5866"/>
    <cellStyle name="Normal 2 2 2 2 15 9" xfId="5867"/>
    <cellStyle name="Normal 2 2 2 2 16" xfId="5868"/>
    <cellStyle name="Normal 2 2 2 2 16 10" xfId="5869"/>
    <cellStyle name="Normal 2 2 2 2 16 11" xfId="5870"/>
    <cellStyle name="Normal 2 2 2 2 16 12" xfId="5871"/>
    <cellStyle name="Normal 2 2 2 2 16 13" xfId="5872"/>
    <cellStyle name="Normal 2 2 2 2 16 14" xfId="5873"/>
    <cellStyle name="Normal 2 2 2 2 16 15" xfId="5874"/>
    <cellStyle name="Normal 2 2 2 2 16 16" xfId="5875"/>
    <cellStyle name="Normal 2 2 2 2 16 17" xfId="5876"/>
    <cellStyle name="Normal 2 2 2 2 16 18" xfId="5877"/>
    <cellStyle name="Normal 2 2 2 2 16 19" xfId="5878"/>
    <cellStyle name="Normal 2 2 2 2 16 2" xfId="5879"/>
    <cellStyle name="Normal 2 2 2 2 16 20" xfId="5880"/>
    <cellStyle name="Normal 2 2 2 2 16 21" xfId="5881"/>
    <cellStyle name="Normal 2 2 2 2 16 22" xfId="5882"/>
    <cellStyle name="Normal 2 2 2 2 16 23" xfId="5883"/>
    <cellStyle name="Normal 2 2 2 2 16 24" xfId="5884"/>
    <cellStyle name="Normal 2 2 2 2 16 3" xfId="5885"/>
    <cellStyle name="Normal 2 2 2 2 16 4" xfId="5886"/>
    <cellStyle name="Normal 2 2 2 2 16 5" xfId="5887"/>
    <cellStyle name="Normal 2 2 2 2 16 6" xfId="5888"/>
    <cellStyle name="Normal 2 2 2 2 16 7" xfId="5889"/>
    <cellStyle name="Normal 2 2 2 2 16 8" xfId="5890"/>
    <cellStyle name="Normal 2 2 2 2 16 9" xfId="5891"/>
    <cellStyle name="Normal 2 2 2 2 17" xfId="5892"/>
    <cellStyle name="Normal 2 2 2 2 17 10" xfId="5893"/>
    <cellStyle name="Normal 2 2 2 2 17 11" xfId="5894"/>
    <cellStyle name="Normal 2 2 2 2 17 12" xfId="5895"/>
    <cellStyle name="Normal 2 2 2 2 17 13" xfId="5896"/>
    <cellStyle name="Normal 2 2 2 2 17 14" xfId="5897"/>
    <cellStyle name="Normal 2 2 2 2 17 15" xfId="5898"/>
    <cellStyle name="Normal 2 2 2 2 17 16" xfId="5899"/>
    <cellStyle name="Normal 2 2 2 2 17 17" xfId="5900"/>
    <cellStyle name="Normal 2 2 2 2 17 18" xfId="5901"/>
    <cellStyle name="Normal 2 2 2 2 17 19" xfId="5902"/>
    <cellStyle name="Normal 2 2 2 2 17 2" xfId="5903"/>
    <cellStyle name="Normal 2 2 2 2 17 20" xfId="5904"/>
    <cellStyle name="Normal 2 2 2 2 17 21" xfId="5905"/>
    <cellStyle name="Normal 2 2 2 2 17 22" xfId="5906"/>
    <cellStyle name="Normal 2 2 2 2 17 23" xfId="5907"/>
    <cellStyle name="Normal 2 2 2 2 17 24" xfId="5908"/>
    <cellStyle name="Normal 2 2 2 2 17 3" xfId="5909"/>
    <cellStyle name="Normal 2 2 2 2 17 4" xfId="5910"/>
    <cellStyle name="Normal 2 2 2 2 17 5" xfId="5911"/>
    <cellStyle name="Normal 2 2 2 2 17 6" xfId="5912"/>
    <cellStyle name="Normal 2 2 2 2 17 7" xfId="5913"/>
    <cellStyle name="Normal 2 2 2 2 17 8" xfId="5914"/>
    <cellStyle name="Normal 2 2 2 2 17 9" xfId="5915"/>
    <cellStyle name="Normal 2 2 2 2 18" xfId="5916"/>
    <cellStyle name="Normal 2 2 2 2 18 10" xfId="5917"/>
    <cellStyle name="Normal 2 2 2 2 18 11" xfId="5918"/>
    <cellStyle name="Normal 2 2 2 2 18 12" xfId="5919"/>
    <cellStyle name="Normal 2 2 2 2 18 13" xfId="5920"/>
    <cellStyle name="Normal 2 2 2 2 18 14" xfId="5921"/>
    <cellStyle name="Normal 2 2 2 2 18 15" xfId="5922"/>
    <cellStyle name="Normal 2 2 2 2 18 16" xfId="5923"/>
    <cellStyle name="Normal 2 2 2 2 18 17" xfId="5924"/>
    <cellStyle name="Normal 2 2 2 2 18 18" xfId="5925"/>
    <cellStyle name="Normal 2 2 2 2 18 19" xfId="5926"/>
    <cellStyle name="Normal 2 2 2 2 18 2" xfId="5927"/>
    <cellStyle name="Normal 2 2 2 2 18 20" xfId="5928"/>
    <cellStyle name="Normal 2 2 2 2 18 21" xfId="5929"/>
    <cellStyle name="Normal 2 2 2 2 18 22" xfId="5930"/>
    <cellStyle name="Normal 2 2 2 2 18 23" xfId="5931"/>
    <cellStyle name="Normal 2 2 2 2 18 24" xfId="5932"/>
    <cellStyle name="Normal 2 2 2 2 18 3" xfId="5933"/>
    <cellStyle name="Normal 2 2 2 2 18 4" xfId="5934"/>
    <cellStyle name="Normal 2 2 2 2 18 5" xfId="5935"/>
    <cellStyle name="Normal 2 2 2 2 18 6" xfId="5936"/>
    <cellStyle name="Normal 2 2 2 2 18 7" xfId="5937"/>
    <cellStyle name="Normal 2 2 2 2 18 8" xfId="5938"/>
    <cellStyle name="Normal 2 2 2 2 18 9" xfId="5939"/>
    <cellStyle name="Normal 2 2 2 2 19" xfId="5940"/>
    <cellStyle name="Normal 2 2 2 2 19 2" xfId="5941"/>
    <cellStyle name="Normal 2 2 2 2 19 3" xfId="5942"/>
    <cellStyle name="Normal 2 2 2 2 2" xfId="5943"/>
    <cellStyle name="Normal 2 2 2 2 2 10" xfId="5944"/>
    <cellStyle name="Normal 2 2 2 2 2 10 10" xfId="5945"/>
    <cellStyle name="Normal 2 2 2 2 2 10 11" xfId="5946"/>
    <cellStyle name="Normal 2 2 2 2 2 10 12" xfId="5947"/>
    <cellStyle name="Normal 2 2 2 2 2 10 13" xfId="5948"/>
    <cellStyle name="Normal 2 2 2 2 2 10 14" xfId="5949"/>
    <cellStyle name="Normal 2 2 2 2 2 10 15" xfId="5950"/>
    <cellStyle name="Normal 2 2 2 2 2 10 16" xfId="5951"/>
    <cellStyle name="Normal 2 2 2 2 2 10 17" xfId="5952"/>
    <cellStyle name="Normal 2 2 2 2 2 10 18" xfId="5953"/>
    <cellStyle name="Normal 2 2 2 2 2 10 19" xfId="5954"/>
    <cellStyle name="Normal 2 2 2 2 2 10 2" xfId="5955"/>
    <cellStyle name="Normal 2 2 2 2 2 10 20" xfId="5956"/>
    <cellStyle name="Normal 2 2 2 2 2 10 21" xfId="5957"/>
    <cellStyle name="Normal 2 2 2 2 2 10 22" xfId="5958"/>
    <cellStyle name="Normal 2 2 2 2 2 10 23" xfId="5959"/>
    <cellStyle name="Normal 2 2 2 2 2 10 3" xfId="5960"/>
    <cellStyle name="Normal 2 2 2 2 2 10 4" xfId="5961"/>
    <cellStyle name="Normal 2 2 2 2 2 10 5" xfId="5962"/>
    <cellStyle name="Normal 2 2 2 2 2 10 6" xfId="5963"/>
    <cellStyle name="Normal 2 2 2 2 2 10 7" xfId="5964"/>
    <cellStyle name="Normal 2 2 2 2 2 10 8" xfId="5965"/>
    <cellStyle name="Normal 2 2 2 2 2 10 9" xfId="5966"/>
    <cellStyle name="Normal 2 2 2 2 2 11" xfId="5967"/>
    <cellStyle name="Normal 2 2 2 2 2 11 10" xfId="5968"/>
    <cellStyle name="Normal 2 2 2 2 2 11 11" xfId="5969"/>
    <cellStyle name="Normal 2 2 2 2 2 11 12" xfId="5970"/>
    <cellStyle name="Normal 2 2 2 2 2 11 13" xfId="5971"/>
    <cellStyle name="Normal 2 2 2 2 2 11 14" xfId="5972"/>
    <cellStyle name="Normal 2 2 2 2 2 11 15" xfId="5973"/>
    <cellStyle name="Normal 2 2 2 2 2 11 16" xfId="5974"/>
    <cellStyle name="Normal 2 2 2 2 2 11 17" xfId="5975"/>
    <cellStyle name="Normal 2 2 2 2 2 11 18" xfId="5976"/>
    <cellStyle name="Normal 2 2 2 2 2 11 19" xfId="5977"/>
    <cellStyle name="Normal 2 2 2 2 2 11 2" xfId="5978"/>
    <cellStyle name="Normal 2 2 2 2 2 11 20" xfId="5979"/>
    <cellStyle name="Normal 2 2 2 2 2 11 21" xfId="5980"/>
    <cellStyle name="Normal 2 2 2 2 2 11 22" xfId="5981"/>
    <cellStyle name="Normal 2 2 2 2 2 11 23" xfId="5982"/>
    <cellStyle name="Normal 2 2 2 2 2 11 3" xfId="5983"/>
    <cellStyle name="Normal 2 2 2 2 2 11 4" xfId="5984"/>
    <cellStyle name="Normal 2 2 2 2 2 11 5" xfId="5985"/>
    <cellStyle name="Normal 2 2 2 2 2 11 6" xfId="5986"/>
    <cellStyle name="Normal 2 2 2 2 2 11 7" xfId="5987"/>
    <cellStyle name="Normal 2 2 2 2 2 11 8" xfId="5988"/>
    <cellStyle name="Normal 2 2 2 2 2 11 9" xfId="5989"/>
    <cellStyle name="Normal 2 2 2 2 2 12" xfId="5990"/>
    <cellStyle name="Normal 2 2 2 2 2 12 10" xfId="5991"/>
    <cellStyle name="Normal 2 2 2 2 2 12 11" xfId="5992"/>
    <cellStyle name="Normal 2 2 2 2 2 12 12" xfId="5993"/>
    <cellStyle name="Normal 2 2 2 2 2 12 13" xfId="5994"/>
    <cellStyle name="Normal 2 2 2 2 2 12 14" xfId="5995"/>
    <cellStyle name="Normal 2 2 2 2 2 12 15" xfId="5996"/>
    <cellStyle name="Normal 2 2 2 2 2 12 16" xfId="5997"/>
    <cellStyle name="Normal 2 2 2 2 2 12 17" xfId="5998"/>
    <cellStyle name="Normal 2 2 2 2 2 12 18" xfId="5999"/>
    <cellStyle name="Normal 2 2 2 2 2 12 19" xfId="6000"/>
    <cellStyle name="Normal 2 2 2 2 2 12 2" xfId="6001"/>
    <cellStyle name="Normal 2 2 2 2 2 12 20" xfId="6002"/>
    <cellStyle name="Normal 2 2 2 2 2 12 21" xfId="6003"/>
    <cellStyle name="Normal 2 2 2 2 2 12 22" xfId="6004"/>
    <cellStyle name="Normal 2 2 2 2 2 12 23" xfId="6005"/>
    <cellStyle name="Normal 2 2 2 2 2 12 3" xfId="6006"/>
    <cellStyle name="Normal 2 2 2 2 2 12 4" xfId="6007"/>
    <cellStyle name="Normal 2 2 2 2 2 12 5" xfId="6008"/>
    <cellStyle name="Normal 2 2 2 2 2 12 6" xfId="6009"/>
    <cellStyle name="Normal 2 2 2 2 2 12 7" xfId="6010"/>
    <cellStyle name="Normal 2 2 2 2 2 12 8" xfId="6011"/>
    <cellStyle name="Normal 2 2 2 2 2 12 9" xfId="6012"/>
    <cellStyle name="Normal 2 2 2 2 2 13" xfId="6013"/>
    <cellStyle name="Normal 2 2 2 2 2 13 10" xfId="6014"/>
    <cellStyle name="Normal 2 2 2 2 2 13 11" xfId="6015"/>
    <cellStyle name="Normal 2 2 2 2 2 13 12" xfId="6016"/>
    <cellStyle name="Normal 2 2 2 2 2 13 13" xfId="6017"/>
    <cellStyle name="Normal 2 2 2 2 2 13 14" xfId="6018"/>
    <cellStyle name="Normal 2 2 2 2 2 13 15" xfId="6019"/>
    <cellStyle name="Normal 2 2 2 2 2 13 16" xfId="6020"/>
    <cellStyle name="Normal 2 2 2 2 2 13 17" xfId="6021"/>
    <cellStyle name="Normal 2 2 2 2 2 13 18" xfId="6022"/>
    <cellStyle name="Normal 2 2 2 2 2 13 19" xfId="6023"/>
    <cellStyle name="Normal 2 2 2 2 2 13 2" xfId="6024"/>
    <cellStyle name="Normal 2 2 2 2 2 13 20" xfId="6025"/>
    <cellStyle name="Normal 2 2 2 2 2 13 21" xfId="6026"/>
    <cellStyle name="Normal 2 2 2 2 2 13 22" xfId="6027"/>
    <cellStyle name="Normal 2 2 2 2 2 13 23" xfId="6028"/>
    <cellStyle name="Normal 2 2 2 2 2 13 3" xfId="6029"/>
    <cellStyle name="Normal 2 2 2 2 2 13 4" xfId="6030"/>
    <cellStyle name="Normal 2 2 2 2 2 13 5" xfId="6031"/>
    <cellStyle name="Normal 2 2 2 2 2 13 6" xfId="6032"/>
    <cellStyle name="Normal 2 2 2 2 2 13 7" xfId="6033"/>
    <cellStyle name="Normal 2 2 2 2 2 13 8" xfId="6034"/>
    <cellStyle name="Normal 2 2 2 2 2 13 9" xfId="6035"/>
    <cellStyle name="Normal 2 2 2 2 2 14" xfId="6036"/>
    <cellStyle name="Normal 2 2 2 2 2 14 10" xfId="6037"/>
    <cellStyle name="Normal 2 2 2 2 2 14 11" xfId="6038"/>
    <cellStyle name="Normal 2 2 2 2 2 14 12" xfId="6039"/>
    <cellStyle name="Normal 2 2 2 2 2 14 13" xfId="6040"/>
    <cellStyle name="Normal 2 2 2 2 2 14 14" xfId="6041"/>
    <cellStyle name="Normal 2 2 2 2 2 14 15" xfId="6042"/>
    <cellStyle name="Normal 2 2 2 2 2 14 16" xfId="6043"/>
    <cellStyle name="Normal 2 2 2 2 2 14 17" xfId="6044"/>
    <cellStyle name="Normal 2 2 2 2 2 14 18" xfId="6045"/>
    <cellStyle name="Normal 2 2 2 2 2 14 19" xfId="6046"/>
    <cellStyle name="Normal 2 2 2 2 2 14 2" xfId="6047"/>
    <cellStyle name="Normal 2 2 2 2 2 14 20" xfId="6048"/>
    <cellStyle name="Normal 2 2 2 2 2 14 21" xfId="6049"/>
    <cellStyle name="Normal 2 2 2 2 2 14 22" xfId="6050"/>
    <cellStyle name="Normal 2 2 2 2 2 14 23" xfId="6051"/>
    <cellStyle name="Normal 2 2 2 2 2 14 3" xfId="6052"/>
    <cellStyle name="Normal 2 2 2 2 2 14 4" xfId="6053"/>
    <cellStyle name="Normal 2 2 2 2 2 14 5" xfId="6054"/>
    <cellStyle name="Normal 2 2 2 2 2 14 6" xfId="6055"/>
    <cellStyle name="Normal 2 2 2 2 2 14 7" xfId="6056"/>
    <cellStyle name="Normal 2 2 2 2 2 14 8" xfId="6057"/>
    <cellStyle name="Normal 2 2 2 2 2 14 9" xfId="6058"/>
    <cellStyle name="Normal 2 2 2 2 2 15" xfId="6059"/>
    <cellStyle name="Normal 2 2 2 2 2 15 10" xfId="6060"/>
    <cellStyle name="Normal 2 2 2 2 2 15 11" xfId="6061"/>
    <cellStyle name="Normal 2 2 2 2 2 15 12" xfId="6062"/>
    <cellStyle name="Normal 2 2 2 2 2 15 13" xfId="6063"/>
    <cellStyle name="Normal 2 2 2 2 2 15 14" xfId="6064"/>
    <cellStyle name="Normal 2 2 2 2 2 15 15" xfId="6065"/>
    <cellStyle name="Normal 2 2 2 2 2 15 16" xfId="6066"/>
    <cellStyle name="Normal 2 2 2 2 2 15 17" xfId="6067"/>
    <cellStyle name="Normal 2 2 2 2 2 15 18" xfId="6068"/>
    <cellStyle name="Normal 2 2 2 2 2 15 19" xfId="6069"/>
    <cellStyle name="Normal 2 2 2 2 2 15 2" xfId="6070"/>
    <cellStyle name="Normal 2 2 2 2 2 15 20" xfId="6071"/>
    <cellStyle name="Normal 2 2 2 2 2 15 21" xfId="6072"/>
    <cellStyle name="Normal 2 2 2 2 2 15 22" xfId="6073"/>
    <cellStyle name="Normal 2 2 2 2 2 15 23" xfId="6074"/>
    <cellStyle name="Normal 2 2 2 2 2 15 3" xfId="6075"/>
    <cellStyle name="Normal 2 2 2 2 2 15 4" xfId="6076"/>
    <cellStyle name="Normal 2 2 2 2 2 15 5" xfId="6077"/>
    <cellStyle name="Normal 2 2 2 2 2 15 6" xfId="6078"/>
    <cellStyle name="Normal 2 2 2 2 2 15 7" xfId="6079"/>
    <cellStyle name="Normal 2 2 2 2 2 15 8" xfId="6080"/>
    <cellStyle name="Normal 2 2 2 2 2 15 9" xfId="6081"/>
    <cellStyle name="Normal 2 2 2 2 2 16" xfId="6082"/>
    <cellStyle name="Normal 2 2 2 2 2 16 10" xfId="6083"/>
    <cellStyle name="Normal 2 2 2 2 2 16 11" xfId="6084"/>
    <cellStyle name="Normal 2 2 2 2 2 16 12" xfId="6085"/>
    <cellStyle name="Normal 2 2 2 2 2 16 13" xfId="6086"/>
    <cellStyle name="Normal 2 2 2 2 2 16 14" xfId="6087"/>
    <cellStyle name="Normal 2 2 2 2 2 16 15" xfId="6088"/>
    <cellStyle name="Normal 2 2 2 2 2 16 16" xfId="6089"/>
    <cellStyle name="Normal 2 2 2 2 2 16 17" xfId="6090"/>
    <cellStyle name="Normal 2 2 2 2 2 16 18" xfId="6091"/>
    <cellStyle name="Normal 2 2 2 2 2 16 19" xfId="6092"/>
    <cellStyle name="Normal 2 2 2 2 2 16 2" xfId="6093"/>
    <cellStyle name="Normal 2 2 2 2 2 16 20" xfId="6094"/>
    <cellStyle name="Normal 2 2 2 2 2 16 21" xfId="6095"/>
    <cellStyle name="Normal 2 2 2 2 2 16 22" xfId="6096"/>
    <cellStyle name="Normal 2 2 2 2 2 16 23" xfId="6097"/>
    <cellStyle name="Normal 2 2 2 2 2 16 3" xfId="6098"/>
    <cellStyle name="Normal 2 2 2 2 2 16 4" xfId="6099"/>
    <cellStyle name="Normal 2 2 2 2 2 16 5" xfId="6100"/>
    <cellStyle name="Normal 2 2 2 2 2 16 6" xfId="6101"/>
    <cellStyle name="Normal 2 2 2 2 2 16 7" xfId="6102"/>
    <cellStyle name="Normal 2 2 2 2 2 16 8" xfId="6103"/>
    <cellStyle name="Normal 2 2 2 2 2 16 9" xfId="6104"/>
    <cellStyle name="Normal 2 2 2 2 2 17" xfId="6105"/>
    <cellStyle name="Normal 2 2 2 2 2 17 10" xfId="6106"/>
    <cellStyle name="Normal 2 2 2 2 2 17 11" xfId="6107"/>
    <cellStyle name="Normal 2 2 2 2 2 17 12" xfId="6108"/>
    <cellStyle name="Normal 2 2 2 2 2 17 13" xfId="6109"/>
    <cellStyle name="Normal 2 2 2 2 2 17 14" xfId="6110"/>
    <cellStyle name="Normal 2 2 2 2 2 17 15" xfId="6111"/>
    <cellStyle name="Normal 2 2 2 2 2 17 16" xfId="6112"/>
    <cellStyle name="Normal 2 2 2 2 2 17 17" xfId="6113"/>
    <cellStyle name="Normal 2 2 2 2 2 17 18" xfId="6114"/>
    <cellStyle name="Normal 2 2 2 2 2 17 19" xfId="6115"/>
    <cellStyle name="Normal 2 2 2 2 2 17 2" xfId="6116"/>
    <cellStyle name="Normal 2 2 2 2 2 17 20" xfId="6117"/>
    <cellStyle name="Normal 2 2 2 2 2 17 21" xfId="6118"/>
    <cellStyle name="Normal 2 2 2 2 2 17 22" xfId="6119"/>
    <cellStyle name="Normal 2 2 2 2 2 17 23" xfId="6120"/>
    <cellStyle name="Normal 2 2 2 2 2 17 3" xfId="6121"/>
    <cellStyle name="Normal 2 2 2 2 2 17 4" xfId="6122"/>
    <cellStyle name="Normal 2 2 2 2 2 17 5" xfId="6123"/>
    <cellStyle name="Normal 2 2 2 2 2 17 6" xfId="6124"/>
    <cellStyle name="Normal 2 2 2 2 2 17 7" xfId="6125"/>
    <cellStyle name="Normal 2 2 2 2 2 17 8" xfId="6126"/>
    <cellStyle name="Normal 2 2 2 2 2 17 9" xfId="6127"/>
    <cellStyle name="Normal 2 2 2 2 2 18" xfId="6128"/>
    <cellStyle name="Normal 2 2 2 2 2 18 2" xfId="6129"/>
    <cellStyle name="Normal 2 2 2 2 2 19" xfId="6130"/>
    <cellStyle name="Normal 2 2 2 2 2 19 2" xfId="6131"/>
    <cellStyle name="Normal 2 2 2 2 2 2" xfId="6132"/>
    <cellStyle name="Normal 2 2 2 2 2 2 10" xfId="6133"/>
    <cellStyle name="Normal 2 2 2 2 2 2 10 10" xfId="6134"/>
    <cellStyle name="Normal 2 2 2 2 2 2 10 11" xfId="6135"/>
    <cellStyle name="Normal 2 2 2 2 2 2 10 12" xfId="6136"/>
    <cellStyle name="Normal 2 2 2 2 2 2 10 13" xfId="6137"/>
    <cellStyle name="Normal 2 2 2 2 2 2 10 14" xfId="6138"/>
    <cellStyle name="Normal 2 2 2 2 2 2 10 15" xfId="6139"/>
    <cellStyle name="Normal 2 2 2 2 2 2 10 16" xfId="6140"/>
    <cellStyle name="Normal 2 2 2 2 2 2 10 17" xfId="6141"/>
    <cellStyle name="Normal 2 2 2 2 2 2 10 18" xfId="6142"/>
    <cellStyle name="Normal 2 2 2 2 2 2 10 19" xfId="6143"/>
    <cellStyle name="Normal 2 2 2 2 2 2 10 2" xfId="6144"/>
    <cellStyle name="Normal 2 2 2 2 2 2 10 20" xfId="6145"/>
    <cellStyle name="Normal 2 2 2 2 2 2 10 21" xfId="6146"/>
    <cellStyle name="Normal 2 2 2 2 2 2 10 22" xfId="6147"/>
    <cellStyle name="Normal 2 2 2 2 2 2 10 23" xfId="6148"/>
    <cellStyle name="Normal 2 2 2 2 2 2 10 24" xfId="6149"/>
    <cellStyle name="Normal 2 2 2 2 2 2 10 3" xfId="6150"/>
    <cellStyle name="Normal 2 2 2 2 2 2 10 4" xfId="6151"/>
    <cellStyle name="Normal 2 2 2 2 2 2 10 5" xfId="6152"/>
    <cellStyle name="Normal 2 2 2 2 2 2 10 6" xfId="6153"/>
    <cellStyle name="Normal 2 2 2 2 2 2 10 7" xfId="6154"/>
    <cellStyle name="Normal 2 2 2 2 2 2 10 8" xfId="6155"/>
    <cellStyle name="Normal 2 2 2 2 2 2 10 9" xfId="6156"/>
    <cellStyle name="Normal 2 2 2 2 2 2 11" xfId="6157"/>
    <cellStyle name="Normal 2 2 2 2 2 2 11 10" xfId="6158"/>
    <cellStyle name="Normal 2 2 2 2 2 2 11 11" xfId="6159"/>
    <cellStyle name="Normal 2 2 2 2 2 2 11 12" xfId="6160"/>
    <cellStyle name="Normal 2 2 2 2 2 2 11 13" xfId="6161"/>
    <cellStyle name="Normal 2 2 2 2 2 2 11 14" xfId="6162"/>
    <cellStyle name="Normal 2 2 2 2 2 2 11 15" xfId="6163"/>
    <cellStyle name="Normal 2 2 2 2 2 2 11 16" xfId="6164"/>
    <cellStyle name="Normal 2 2 2 2 2 2 11 17" xfId="6165"/>
    <cellStyle name="Normal 2 2 2 2 2 2 11 18" xfId="6166"/>
    <cellStyle name="Normal 2 2 2 2 2 2 11 19" xfId="6167"/>
    <cellStyle name="Normal 2 2 2 2 2 2 11 2" xfId="6168"/>
    <cellStyle name="Normal 2 2 2 2 2 2 11 20" xfId="6169"/>
    <cellStyle name="Normal 2 2 2 2 2 2 11 21" xfId="6170"/>
    <cellStyle name="Normal 2 2 2 2 2 2 11 22" xfId="6171"/>
    <cellStyle name="Normal 2 2 2 2 2 2 11 23" xfId="6172"/>
    <cellStyle name="Normal 2 2 2 2 2 2 11 24" xfId="6173"/>
    <cellStyle name="Normal 2 2 2 2 2 2 11 3" xfId="6174"/>
    <cellStyle name="Normal 2 2 2 2 2 2 11 4" xfId="6175"/>
    <cellStyle name="Normal 2 2 2 2 2 2 11 5" xfId="6176"/>
    <cellStyle name="Normal 2 2 2 2 2 2 11 6" xfId="6177"/>
    <cellStyle name="Normal 2 2 2 2 2 2 11 7" xfId="6178"/>
    <cellStyle name="Normal 2 2 2 2 2 2 11 8" xfId="6179"/>
    <cellStyle name="Normal 2 2 2 2 2 2 11 9" xfId="6180"/>
    <cellStyle name="Normal 2 2 2 2 2 2 12" xfId="6181"/>
    <cellStyle name="Normal 2 2 2 2 2 2 12 10" xfId="6182"/>
    <cellStyle name="Normal 2 2 2 2 2 2 12 11" xfId="6183"/>
    <cellStyle name="Normal 2 2 2 2 2 2 12 12" xfId="6184"/>
    <cellStyle name="Normal 2 2 2 2 2 2 12 13" xfId="6185"/>
    <cellStyle name="Normal 2 2 2 2 2 2 12 14" xfId="6186"/>
    <cellStyle name="Normal 2 2 2 2 2 2 12 15" xfId="6187"/>
    <cellStyle name="Normal 2 2 2 2 2 2 12 16" xfId="6188"/>
    <cellStyle name="Normal 2 2 2 2 2 2 12 17" xfId="6189"/>
    <cellStyle name="Normal 2 2 2 2 2 2 12 18" xfId="6190"/>
    <cellStyle name="Normal 2 2 2 2 2 2 12 19" xfId="6191"/>
    <cellStyle name="Normal 2 2 2 2 2 2 12 2" xfId="6192"/>
    <cellStyle name="Normal 2 2 2 2 2 2 12 20" xfId="6193"/>
    <cellStyle name="Normal 2 2 2 2 2 2 12 21" xfId="6194"/>
    <cellStyle name="Normal 2 2 2 2 2 2 12 22" xfId="6195"/>
    <cellStyle name="Normal 2 2 2 2 2 2 12 23" xfId="6196"/>
    <cellStyle name="Normal 2 2 2 2 2 2 12 24" xfId="6197"/>
    <cellStyle name="Normal 2 2 2 2 2 2 12 3" xfId="6198"/>
    <cellStyle name="Normal 2 2 2 2 2 2 12 4" xfId="6199"/>
    <cellStyle name="Normal 2 2 2 2 2 2 12 5" xfId="6200"/>
    <cellStyle name="Normal 2 2 2 2 2 2 12 6" xfId="6201"/>
    <cellStyle name="Normal 2 2 2 2 2 2 12 7" xfId="6202"/>
    <cellStyle name="Normal 2 2 2 2 2 2 12 8" xfId="6203"/>
    <cellStyle name="Normal 2 2 2 2 2 2 12 9" xfId="6204"/>
    <cellStyle name="Normal 2 2 2 2 2 2 13" xfId="6205"/>
    <cellStyle name="Normal 2 2 2 2 2 2 13 10" xfId="6206"/>
    <cellStyle name="Normal 2 2 2 2 2 2 13 11" xfId="6207"/>
    <cellStyle name="Normal 2 2 2 2 2 2 13 12" xfId="6208"/>
    <cellStyle name="Normal 2 2 2 2 2 2 13 13" xfId="6209"/>
    <cellStyle name="Normal 2 2 2 2 2 2 13 14" xfId="6210"/>
    <cellStyle name="Normal 2 2 2 2 2 2 13 15" xfId="6211"/>
    <cellStyle name="Normal 2 2 2 2 2 2 13 16" xfId="6212"/>
    <cellStyle name="Normal 2 2 2 2 2 2 13 17" xfId="6213"/>
    <cellStyle name="Normal 2 2 2 2 2 2 13 18" xfId="6214"/>
    <cellStyle name="Normal 2 2 2 2 2 2 13 19" xfId="6215"/>
    <cellStyle name="Normal 2 2 2 2 2 2 13 2" xfId="6216"/>
    <cellStyle name="Normal 2 2 2 2 2 2 13 20" xfId="6217"/>
    <cellStyle name="Normal 2 2 2 2 2 2 13 21" xfId="6218"/>
    <cellStyle name="Normal 2 2 2 2 2 2 13 22" xfId="6219"/>
    <cellStyle name="Normal 2 2 2 2 2 2 13 23" xfId="6220"/>
    <cellStyle name="Normal 2 2 2 2 2 2 13 24" xfId="6221"/>
    <cellStyle name="Normal 2 2 2 2 2 2 13 3" xfId="6222"/>
    <cellStyle name="Normal 2 2 2 2 2 2 13 4" xfId="6223"/>
    <cellStyle name="Normal 2 2 2 2 2 2 13 5" xfId="6224"/>
    <cellStyle name="Normal 2 2 2 2 2 2 13 6" xfId="6225"/>
    <cellStyle name="Normal 2 2 2 2 2 2 13 7" xfId="6226"/>
    <cellStyle name="Normal 2 2 2 2 2 2 13 8" xfId="6227"/>
    <cellStyle name="Normal 2 2 2 2 2 2 13 9" xfId="6228"/>
    <cellStyle name="Normal 2 2 2 2 2 2 14" xfId="6229"/>
    <cellStyle name="Normal 2 2 2 2 2 2 14 10" xfId="6230"/>
    <cellStyle name="Normal 2 2 2 2 2 2 14 11" xfId="6231"/>
    <cellStyle name="Normal 2 2 2 2 2 2 14 12" xfId="6232"/>
    <cellStyle name="Normal 2 2 2 2 2 2 14 13" xfId="6233"/>
    <cellStyle name="Normal 2 2 2 2 2 2 14 14" xfId="6234"/>
    <cellStyle name="Normal 2 2 2 2 2 2 14 15" xfId="6235"/>
    <cellStyle name="Normal 2 2 2 2 2 2 14 16" xfId="6236"/>
    <cellStyle name="Normal 2 2 2 2 2 2 14 17" xfId="6237"/>
    <cellStyle name="Normal 2 2 2 2 2 2 14 18" xfId="6238"/>
    <cellStyle name="Normal 2 2 2 2 2 2 14 19" xfId="6239"/>
    <cellStyle name="Normal 2 2 2 2 2 2 14 2" xfId="6240"/>
    <cellStyle name="Normal 2 2 2 2 2 2 14 20" xfId="6241"/>
    <cellStyle name="Normal 2 2 2 2 2 2 14 21" xfId="6242"/>
    <cellStyle name="Normal 2 2 2 2 2 2 14 22" xfId="6243"/>
    <cellStyle name="Normal 2 2 2 2 2 2 14 23" xfId="6244"/>
    <cellStyle name="Normal 2 2 2 2 2 2 14 24" xfId="6245"/>
    <cellStyle name="Normal 2 2 2 2 2 2 14 3" xfId="6246"/>
    <cellStyle name="Normal 2 2 2 2 2 2 14 4" xfId="6247"/>
    <cellStyle name="Normal 2 2 2 2 2 2 14 5" xfId="6248"/>
    <cellStyle name="Normal 2 2 2 2 2 2 14 6" xfId="6249"/>
    <cellStyle name="Normal 2 2 2 2 2 2 14 7" xfId="6250"/>
    <cellStyle name="Normal 2 2 2 2 2 2 14 8" xfId="6251"/>
    <cellStyle name="Normal 2 2 2 2 2 2 14 9" xfId="6252"/>
    <cellStyle name="Normal 2 2 2 2 2 2 15" xfId="6253"/>
    <cellStyle name="Normal 2 2 2 2 2 2 15 10" xfId="6254"/>
    <cellStyle name="Normal 2 2 2 2 2 2 15 11" xfId="6255"/>
    <cellStyle name="Normal 2 2 2 2 2 2 15 12" xfId="6256"/>
    <cellStyle name="Normal 2 2 2 2 2 2 15 13" xfId="6257"/>
    <cellStyle name="Normal 2 2 2 2 2 2 15 14" xfId="6258"/>
    <cellStyle name="Normal 2 2 2 2 2 2 15 15" xfId="6259"/>
    <cellStyle name="Normal 2 2 2 2 2 2 15 16" xfId="6260"/>
    <cellStyle name="Normal 2 2 2 2 2 2 15 17" xfId="6261"/>
    <cellStyle name="Normal 2 2 2 2 2 2 15 18" xfId="6262"/>
    <cellStyle name="Normal 2 2 2 2 2 2 15 19" xfId="6263"/>
    <cellStyle name="Normal 2 2 2 2 2 2 15 2" xfId="6264"/>
    <cellStyle name="Normal 2 2 2 2 2 2 15 20" xfId="6265"/>
    <cellStyle name="Normal 2 2 2 2 2 2 15 21" xfId="6266"/>
    <cellStyle name="Normal 2 2 2 2 2 2 15 22" xfId="6267"/>
    <cellStyle name="Normal 2 2 2 2 2 2 15 23" xfId="6268"/>
    <cellStyle name="Normal 2 2 2 2 2 2 15 24" xfId="6269"/>
    <cellStyle name="Normal 2 2 2 2 2 2 15 3" xfId="6270"/>
    <cellStyle name="Normal 2 2 2 2 2 2 15 4" xfId="6271"/>
    <cellStyle name="Normal 2 2 2 2 2 2 15 5" xfId="6272"/>
    <cellStyle name="Normal 2 2 2 2 2 2 15 6" xfId="6273"/>
    <cellStyle name="Normal 2 2 2 2 2 2 15 7" xfId="6274"/>
    <cellStyle name="Normal 2 2 2 2 2 2 15 8" xfId="6275"/>
    <cellStyle name="Normal 2 2 2 2 2 2 15 9" xfId="6276"/>
    <cellStyle name="Normal 2 2 2 2 2 2 16" xfId="6277"/>
    <cellStyle name="Normal 2 2 2 2 2 2 16 10" xfId="6278"/>
    <cellStyle name="Normal 2 2 2 2 2 2 16 11" xfId="6279"/>
    <cellStyle name="Normal 2 2 2 2 2 2 16 12" xfId="6280"/>
    <cellStyle name="Normal 2 2 2 2 2 2 16 13" xfId="6281"/>
    <cellStyle name="Normal 2 2 2 2 2 2 16 14" xfId="6282"/>
    <cellStyle name="Normal 2 2 2 2 2 2 16 15" xfId="6283"/>
    <cellStyle name="Normal 2 2 2 2 2 2 16 16" xfId="6284"/>
    <cellStyle name="Normal 2 2 2 2 2 2 16 17" xfId="6285"/>
    <cellStyle name="Normal 2 2 2 2 2 2 16 18" xfId="6286"/>
    <cellStyle name="Normal 2 2 2 2 2 2 16 19" xfId="6287"/>
    <cellStyle name="Normal 2 2 2 2 2 2 16 2" xfId="6288"/>
    <cellStyle name="Normal 2 2 2 2 2 2 16 20" xfId="6289"/>
    <cellStyle name="Normal 2 2 2 2 2 2 16 21" xfId="6290"/>
    <cellStyle name="Normal 2 2 2 2 2 2 16 22" xfId="6291"/>
    <cellStyle name="Normal 2 2 2 2 2 2 16 23" xfId="6292"/>
    <cellStyle name="Normal 2 2 2 2 2 2 16 24" xfId="6293"/>
    <cellStyle name="Normal 2 2 2 2 2 2 16 3" xfId="6294"/>
    <cellStyle name="Normal 2 2 2 2 2 2 16 4" xfId="6295"/>
    <cellStyle name="Normal 2 2 2 2 2 2 16 5" xfId="6296"/>
    <cellStyle name="Normal 2 2 2 2 2 2 16 6" xfId="6297"/>
    <cellStyle name="Normal 2 2 2 2 2 2 16 7" xfId="6298"/>
    <cellStyle name="Normal 2 2 2 2 2 2 16 8" xfId="6299"/>
    <cellStyle name="Normal 2 2 2 2 2 2 16 9" xfId="6300"/>
    <cellStyle name="Normal 2 2 2 2 2 2 17" xfId="6301"/>
    <cellStyle name="Normal 2 2 2 2 2 2 17 10" xfId="6302"/>
    <cellStyle name="Normal 2 2 2 2 2 2 17 11" xfId="6303"/>
    <cellStyle name="Normal 2 2 2 2 2 2 17 12" xfId="6304"/>
    <cellStyle name="Normal 2 2 2 2 2 2 17 13" xfId="6305"/>
    <cellStyle name="Normal 2 2 2 2 2 2 17 14" xfId="6306"/>
    <cellStyle name="Normal 2 2 2 2 2 2 17 15" xfId="6307"/>
    <cellStyle name="Normal 2 2 2 2 2 2 17 16" xfId="6308"/>
    <cellStyle name="Normal 2 2 2 2 2 2 17 17" xfId="6309"/>
    <cellStyle name="Normal 2 2 2 2 2 2 17 18" xfId="6310"/>
    <cellStyle name="Normal 2 2 2 2 2 2 17 19" xfId="6311"/>
    <cellStyle name="Normal 2 2 2 2 2 2 17 2" xfId="6312"/>
    <cellStyle name="Normal 2 2 2 2 2 2 17 20" xfId="6313"/>
    <cellStyle name="Normal 2 2 2 2 2 2 17 21" xfId="6314"/>
    <cellStyle name="Normal 2 2 2 2 2 2 17 22" xfId="6315"/>
    <cellStyle name="Normal 2 2 2 2 2 2 17 23" xfId="6316"/>
    <cellStyle name="Normal 2 2 2 2 2 2 17 24" xfId="6317"/>
    <cellStyle name="Normal 2 2 2 2 2 2 17 3" xfId="6318"/>
    <cellStyle name="Normal 2 2 2 2 2 2 17 4" xfId="6319"/>
    <cellStyle name="Normal 2 2 2 2 2 2 17 5" xfId="6320"/>
    <cellStyle name="Normal 2 2 2 2 2 2 17 6" xfId="6321"/>
    <cellStyle name="Normal 2 2 2 2 2 2 17 7" xfId="6322"/>
    <cellStyle name="Normal 2 2 2 2 2 2 17 8" xfId="6323"/>
    <cellStyle name="Normal 2 2 2 2 2 2 17 9" xfId="6324"/>
    <cellStyle name="Normal 2 2 2 2 2 2 18" xfId="6325"/>
    <cellStyle name="Normal 2 2 2 2 2 2 18 2" xfId="6326"/>
    <cellStyle name="Normal 2 2 2 2 2 2 18 3" xfId="6327"/>
    <cellStyle name="Normal 2 2 2 2 2 2 19" xfId="6328"/>
    <cellStyle name="Normal 2 2 2 2 2 2 19 2" xfId="6329"/>
    <cellStyle name="Normal 2 2 2 2 2 2 19 3" xfId="6330"/>
    <cellStyle name="Normal 2 2 2 2 2 2 2" xfId="6331"/>
    <cellStyle name="Normal 2 2 2 2 2 2 2 10" xfId="6332"/>
    <cellStyle name="Normal 2 2 2 2 2 2 2 10 2" xfId="6333"/>
    <cellStyle name="Normal 2 2 2 2 2 2 2 11" xfId="6334"/>
    <cellStyle name="Normal 2 2 2 2 2 2 2 11 2" xfId="6335"/>
    <cellStyle name="Normal 2 2 2 2 2 2 2 12" xfId="6336"/>
    <cellStyle name="Normal 2 2 2 2 2 2 2 12 2" xfId="6337"/>
    <cellStyle name="Normal 2 2 2 2 2 2 2 13" xfId="6338"/>
    <cellStyle name="Normal 2 2 2 2 2 2 2 13 2" xfId="6339"/>
    <cellStyle name="Normal 2 2 2 2 2 2 2 14" xfId="6340"/>
    <cellStyle name="Normal 2 2 2 2 2 2 2 14 2" xfId="6341"/>
    <cellStyle name="Normal 2 2 2 2 2 2 2 15" xfId="6342"/>
    <cellStyle name="Normal 2 2 2 2 2 2 2 15 2" xfId="6343"/>
    <cellStyle name="Normal 2 2 2 2 2 2 2 16" xfId="6344"/>
    <cellStyle name="Normal 2 2 2 2 2 2 2 16 2" xfId="6345"/>
    <cellStyle name="Normal 2 2 2 2 2 2 2 17" xfId="6346"/>
    <cellStyle name="Normal 2 2 2 2 2 2 2 17 2" xfId="6347"/>
    <cellStyle name="Normal 2 2 2 2 2 2 2 18" xfId="6348"/>
    <cellStyle name="Normal 2 2 2 2 2 2 2 18 2" xfId="6349"/>
    <cellStyle name="Normal 2 2 2 2 2 2 2 19" xfId="6350"/>
    <cellStyle name="Normal 2 2 2 2 2 2 2 19 2" xfId="6351"/>
    <cellStyle name="Normal 2 2 2 2 2 2 2 2" xfId="6352"/>
    <cellStyle name="Normal 2 2 2 2 2 2 2 2 10" xfId="6353"/>
    <cellStyle name="Normal 2 2 2 2 2 2 2 2 10 2" xfId="6354"/>
    <cellStyle name="Normal 2 2 2 2 2 2 2 2 10 3" xfId="6355"/>
    <cellStyle name="Normal 2 2 2 2 2 2 2 2 11" xfId="6356"/>
    <cellStyle name="Normal 2 2 2 2 2 2 2 2 11 2" xfId="6357"/>
    <cellStyle name="Normal 2 2 2 2 2 2 2 2 11 3" xfId="6358"/>
    <cellStyle name="Normal 2 2 2 2 2 2 2 2 12" xfId="6359"/>
    <cellStyle name="Normal 2 2 2 2 2 2 2 2 12 2" xfId="6360"/>
    <cellStyle name="Normal 2 2 2 2 2 2 2 2 12 3" xfId="6361"/>
    <cellStyle name="Normal 2 2 2 2 2 2 2 2 13" xfId="6362"/>
    <cellStyle name="Normal 2 2 2 2 2 2 2 2 13 2" xfId="6363"/>
    <cellStyle name="Normal 2 2 2 2 2 2 2 2 13 3" xfId="6364"/>
    <cellStyle name="Normal 2 2 2 2 2 2 2 2 14" xfId="6365"/>
    <cellStyle name="Normal 2 2 2 2 2 2 2 2 14 2" xfId="6366"/>
    <cellStyle name="Normal 2 2 2 2 2 2 2 2 14 3" xfId="6367"/>
    <cellStyle name="Normal 2 2 2 2 2 2 2 2 15" xfId="6368"/>
    <cellStyle name="Normal 2 2 2 2 2 2 2 2 15 2" xfId="6369"/>
    <cellStyle name="Normal 2 2 2 2 2 2 2 2 15 3" xfId="6370"/>
    <cellStyle name="Normal 2 2 2 2 2 2 2 2 16" xfId="6371"/>
    <cellStyle name="Normal 2 2 2 2 2 2 2 2 16 2" xfId="6372"/>
    <cellStyle name="Normal 2 2 2 2 2 2 2 2 16 3" xfId="6373"/>
    <cellStyle name="Normal 2 2 2 2 2 2 2 2 17" xfId="6374"/>
    <cellStyle name="Normal 2 2 2 2 2 2 2 2 17 2" xfId="6375"/>
    <cellStyle name="Normal 2 2 2 2 2 2 2 2 17 3" xfId="6376"/>
    <cellStyle name="Normal 2 2 2 2 2 2 2 2 18" xfId="6377"/>
    <cellStyle name="Normal 2 2 2 2 2 2 2 2 18 2" xfId="6378"/>
    <cellStyle name="Normal 2 2 2 2 2 2 2 2 18 3" xfId="6379"/>
    <cellStyle name="Normal 2 2 2 2 2 2 2 2 19" xfId="6380"/>
    <cellStyle name="Normal 2 2 2 2 2 2 2 2 19 2" xfId="6381"/>
    <cellStyle name="Normal 2 2 2 2 2 2 2 2 19 3" xfId="6382"/>
    <cellStyle name="Normal 2 2 2 2 2 2 2 2 2" xfId="6383"/>
    <cellStyle name="Normal 2 2 2 2 2 2 2 2 2 10" xfId="6384"/>
    <cellStyle name="Normal 2 2 2 2 2 2 2 2 2 11" xfId="6385"/>
    <cellStyle name="Normal 2 2 2 2 2 2 2 2 2 12" xfId="6386"/>
    <cellStyle name="Normal 2 2 2 2 2 2 2 2 2 13" xfId="6387"/>
    <cellStyle name="Normal 2 2 2 2 2 2 2 2 2 14" xfId="6388"/>
    <cellStyle name="Normal 2 2 2 2 2 2 2 2 2 15" xfId="6389"/>
    <cellStyle name="Normal 2 2 2 2 2 2 2 2 2 16" xfId="6390"/>
    <cellStyle name="Normal 2 2 2 2 2 2 2 2 2 17" xfId="6391"/>
    <cellStyle name="Normal 2 2 2 2 2 2 2 2 2 18" xfId="6392"/>
    <cellStyle name="Normal 2 2 2 2 2 2 2 2 2 19" xfId="6393"/>
    <cellStyle name="Normal 2 2 2 2 2 2 2 2 2 2" xfId="6394"/>
    <cellStyle name="Normal 2 2 2 2 2 2 2 2 2 2 2" xfId="6395"/>
    <cellStyle name="Normal 2 2 2 2 2 2 2 2 2 2 2 2" xfId="6396"/>
    <cellStyle name="Normal 2 2 2 2 2 2 2 2 2 20" xfId="6397"/>
    <cellStyle name="Normal 2 2 2 2 2 2 2 2 2 21" xfId="6398"/>
    <cellStyle name="Normal 2 2 2 2 2 2 2 2 2 22" xfId="6399"/>
    <cellStyle name="Normal 2 2 2 2 2 2 2 2 2 23" xfId="6400"/>
    <cellStyle name="Normal 2 2 2 2 2 2 2 2 2 3" xfId="6401"/>
    <cellStyle name="Normal 2 2 2 2 2 2 2 2 2 4" xfId="6402"/>
    <cellStyle name="Normal 2 2 2 2 2 2 2 2 2 5" xfId="6403"/>
    <cellStyle name="Normal 2 2 2 2 2 2 2 2 2 6" xfId="6404"/>
    <cellStyle name="Normal 2 2 2 2 2 2 2 2 2 7" xfId="6405"/>
    <cellStyle name="Normal 2 2 2 2 2 2 2 2 2 8" xfId="6406"/>
    <cellStyle name="Normal 2 2 2 2 2 2 2 2 2 9" xfId="6407"/>
    <cellStyle name="Normal 2 2 2 2 2 2 2 2 20" xfId="6408"/>
    <cellStyle name="Normal 2 2 2 2 2 2 2 2 20 2" xfId="6409"/>
    <cellStyle name="Normal 2 2 2 2 2 2 2 2 20 3" xfId="6410"/>
    <cellStyle name="Normal 2 2 2 2 2 2 2 2 21" xfId="6411"/>
    <cellStyle name="Normal 2 2 2 2 2 2 2 2 21 2" xfId="6412"/>
    <cellStyle name="Normal 2 2 2 2 2 2 2 2 21 3" xfId="6413"/>
    <cellStyle name="Normal 2 2 2 2 2 2 2 2 22" xfId="6414"/>
    <cellStyle name="Normal 2 2 2 2 2 2 2 2 22 2" xfId="6415"/>
    <cellStyle name="Normal 2 2 2 2 2 2 2 2 22 3" xfId="6416"/>
    <cellStyle name="Normal 2 2 2 2 2 2 2 2 23" xfId="6417"/>
    <cellStyle name="Normal 2 2 2 2 2 2 2 2 23 2" xfId="6418"/>
    <cellStyle name="Normal 2 2 2 2 2 2 2 2 23 3" xfId="6419"/>
    <cellStyle name="Normal 2 2 2 2 2 2 2 2 24" xfId="6420"/>
    <cellStyle name="Normal 2 2 2 2 2 2 2 2 24 2" xfId="6421"/>
    <cellStyle name="Normal 2 2 2 2 2 2 2 2 24 3" xfId="6422"/>
    <cellStyle name="Normal 2 2 2 2 2 2 2 2 25" xfId="6423"/>
    <cellStyle name="Normal 2 2 2 2 2 2 2 2 26" xfId="6424"/>
    <cellStyle name="Normal 2 2 2 2 2 2 2 2 27" xfId="6425"/>
    <cellStyle name="Normal 2 2 2 2 2 2 2 2 28" xfId="6426"/>
    <cellStyle name="Normal 2 2 2 2 2 2 2 2 29" xfId="6427"/>
    <cellStyle name="Normal 2 2 2 2 2 2 2 2 3" xfId="6428"/>
    <cellStyle name="Normal 2 2 2 2 2 2 2 2 3 2" xfId="6429"/>
    <cellStyle name="Normal 2 2 2 2 2 2 2 2 4" xfId="6430"/>
    <cellStyle name="Normal 2 2 2 2 2 2 2 2 4 2" xfId="6431"/>
    <cellStyle name="Normal 2 2 2 2 2 2 2 2 5" xfId="6432"/>
    <cellStyle name="Normal 2 2 2 2 2 2 2 2 5 2" xfId="6433"/>
    <cellStyle name="Normal 2 2 2 2 2 2 2 2 6" xfId="6434"/>
    <cellStyle name="Normal 2 2 2 2 2 2 2 2 6 2" xfId="6435"/>
    <cellStyle name="Normal 2 2 2 2 2 2 2 2 7" xfId="6436"/>
    <cellStyle name="Normal 2 2 2 2 2 2 2 2 7 2" xfId="6437"/>
    <cellStyle name="Normal 2 2 2 2 2 2 2 2 8" xfId="6438"/>
    <cellStyle name="Normal 2 2 2 2 2 2 2 2 8 2" xfId="6439"/>
    <cellStyle name="Normal 2 2 2 2 2 2 2 2 9" xfId="6440"/>
    <cellStyle name="Normal 2 2 2 2 2 2 2 2 9 2" xfId="6441"/>
    <cellStyle name="Normal 2 2 2 2 2 2 2 20" xfId="6442"/>
    <cellStyle name="Normal 2 2 2 2 2 2 2 20 2" xfId="6443"/>
    <cellStyle name="Normal 2 2 2 2 2 2 2 21" xfId="6444"/>
    <cellStyle name="Normal 2 2 2 2 2 2 2 21 2" xfId="6445"/>
    <cellStyle name="Normal 2 2 2 2 2 2 2 22" xfId="6446"/>
    <cellStyle name="Normal 2 2 2 2 2 2 2 22 2" xfId="6447"/>
    <cellStyle name="Normal 2 2 2 2 2 2 2 23" xfId="6448"/>
    <cellStyle name="Normal 2 2 2 2 2 2 2 23 2" xfId="6449"/>
    <cellStyle name="Normal 2 2 2 2 2 2 2 24" xfId="6450"/>
    <cellStyle name="Normal 2 2 2 2 2 2 2 24 2" xfId="6451"/>
    <cellStyle name="Normal 2 2 2 2 2 2 2 25" xfId="6452"/>
    <cellStyle name="Normal 2 2 2 2 2 2 2 26" xfId="6453"/>
    <cellStyle name="Normal 2 2 2 2 2 2 2 27" xfId="6454"/>
    <cellStyle name="Normal 2 2 2 2 2 2 2 28" xfId="6455"/>
    <cellStyle name="Normal 2 2 2 2 2 2 2 29" xfId="6456"/>
    <cellStyle name="Normal 2 2 2 2 2 2 2 3" xfId="6457"/>
    <cellStyle name="Normal 2 2 2 2 2 2 2 3 10" xfId="6458"/>
    <cellStyle name="Normal 2 2 2 2 2 2 2 3 11" xfId="6459"/>
    <cellStyle name="Normal 2 2 2 2 2 2 2 3 12" xfId="6460"/>
    <cellStyle name="Normal 2 2 2 2 2 2 2 3 13" xfId="6461"/>
    <cellStyle name="Normal 2 2 2 2 2 2 2 3 14" xfId="6462"/>
    <cellStyle name="Normal 2 2 2 2 2 2 2 3 15" xfId="6463"/>
    <cellStyle name="Normal 2 2 2 2 2 2 2 3 16" xfId="6464"/>
    <cellStyle name="Normal 2 2 2 2 2 2 2 3 17" xfId="6465"/>
    <cellStyle name="Normal 2 2 2 2 2 2 2 3 18" xfId="6466"/>
    <cellStyle name="Normal 2 2 2 2 2 2 2 3 19" xfId="6467"/>
    <cellStyle name="Normal 2 2 2 2 2 2 2 3 2" xfId="6468"/>
    <cellStyle name="Normal 2 2 2 2 2 2 2 3 20" xfId="6469"/>
    <cellStyle name="Normal 2 2 2 2 2 2 2 3 21" xfId="6470"/>
    <cellStyle name="Normal 2 2 2 2 2 2 2 3 22" xfId="6471"/>
    <cellStyle name="Normal 2 2 2 2 2 2 2 3 23" xfId="6472"/>
    <cellStyle name="Normal 2 2 2 2 2 2 2 3 3" xfId="6473"/>
    <cellStyle name="Normal 2 2 2 2 2 2 2 3 4" xfId="6474"/>
    <cellStyle name="Normal 2 2 2 2 2 2 2 3 5" xfId="6475"/>
    <cellStyle name="Normal 2 2 2 2 2 2 2 3 6" xfId="6476"/>
    <cellStyle name="Normal 2 2 2 2 2 2 2 3 7" xfId="6477"/>
    <cellStyle name="Normal 2 2 2 2 2 2 2 3 8" xfId="6478"/>
    <cellStyle name="Normal 2 2 2 2 2 2 2 3 9" xfId="6479"/>
    <cellStyle name="Normal 2 2 2 2 2 2 2 30" xfId="6480"/>
    <cellStyle name="Normal 2 2 2 2 2 2 2 31" xfId="6481"/>
    <cellStyle name="Normal 2 2 2 2 2 2 2 32" xfId="6482"/>
    <cellStyle name="Normal 2 2 2 2 2 2 2 4" xfId="6483"/>
    <cellStyle name="Normal 2 2 2 2 2 2 2 4 10" xfId="6484"/>
    <cellStyle name="Normal 2 2 2 2 2 2 2 4 11" xfId="6485"/>
    <cellStyle name="Normal 2 2 2 2 2 2 2 4 12" xfId="6486"/>
    <cellStyle name="Normal 2 2 2 2 2 2 2 4 13" xfId="6487"/>
    <cellStyle name="Normal 2 2 2 2 2 2 2 4 14" xfId="6488"/>
    <cellStyle name="Normal 2 2 2 2 2 2 2 4 15" xfId="6489"/>
    <cellStyle name="Normal 2 2 2 2 2 2 2 4 16" xfId="6490"/>
    <cellStyle name="Normal 2 2 2 2 2 2 2 4 17" xfId="6491"/>
    <cellStyle name="Normal 2 2 2 2 2 2 2 4 18" xfId="6492"/>
    <cellStyle name="Normal 2 2 2 2 2 2 2 4 19" xfId="6493"/>
    <cellStyle name="Normal 2 2 2 2 2 2 2 4 2" xfId="6494"/>
    <cellStyle name="Normal 2 2 2 2 2 2 2 4 20" xfId="6495"/>
    <cellStyle name="Normal 2 2 2 2 2 2 2 4 21" xfId="6496"/>
    <cellStyle name="Normal 2 2 2 2 2 2 2 4 22" xfId="6497"/>
    <cellStyle name="Normal 2 2 2 2 2 2 2 4 23" xfId="6498"/>
    <cellStyle name="Normal 2 2 2 2 2 2 2 4 3" xfId="6499"/>
    <cellStyle name="Normal 2 2 2 2 2 2 2 4 4" xfId="6500"/>
    <cellStyle name="Normal 2 2 2 2 2 2 2 4 5" xfId="6501"/>
    <cellStyle name="Normal 2 2 2 2 2 2 2 4 6" xfId="6502"/>
    <cellStyle name="Normal 2 2 2 2 2 2 2 4 7" xfId="6503"/>
    <cellStyle name="Normal 2 2 2 2 2 2 2 4 8" xfId="6504"/>
    <cellStyle name="Normal 2 2 2 2 2 2 2 4 9" xfId="6505"/>
    <cellStyle name="Normal 2 2 2 2 2 2 2 5" xfId="6506"/>
    <cellStyle name="Normal 2 2 2 2 2 2 2 5 10" xfId="6507"/>
    <cellStyle name="Normal 2 2 2 2 2 2 2 5 11" xfId="6508"/>
    <cellStyle name="Normal 2 2 2 2 2 2 2 5 12" xfId="6509"/>
    <cellStyle name="Normal 2 2 2 2 2 2 2 5 13" xfId="6510"/>
    <cellStyle name="Normal 2 2 2 2 2 2 2 5 14" xfId="6511"/>
    <cellStyle name="Normal 2 2 2 2 2 2 2 5 15" xfId="6512"/>
    <cellStyle name="Normal 2 2 2 2 2 2 2 5 16" xfId="6513"/>
    <cellStyle name="Normal 2 2 2 2 2 2 2 5 17" xfId="6514"/>
    <cellStyle name="Normal 2 2 2 2 2 2 2 5 18" xfId="6515"/>
    <cellStyle name="Normal 2 2 2 2 2 2 2 5 19" xfId="6516"/>
    <cellStyle name="Normal 2 2 2 2 2 2 2 5 2" xfId="6517"/>
    <cellStyle name="Normal 2 2 2 2 2 2 2 5 20" xfId="6518"/>
    <cellStyle name="Normal 2 2 2 2 2 2 2 5 21" xfId="6519"/>
    <cellStyle name="Normal 2 2 2 2 2 2 2 5 22" xfId="6520"/>
    <cellStyle name="Normal 2 2 2 2 2 2 2 5 23" xfId="6521"/>
    <cellStyle name="Normal 2 2 2 2 2 2 2 5 3" xfId="6522"/>
    <cellStyle name="Normal 2 2 2 2 2 2 2 5 4" xfId="6523"/>
    <cellStyle name="Normal 2 2 2 2 2 2 2 5 5" xfId="6524"/>
    <cellStyle name="Normal 2 2 2 2 2 2 2 5 6" xfId="6525"/>
    <cellStyle name="Normal 2 2 2 2 2 2 2 5 7" xfId="6526"/>
    <cellStyle name="Normal 2 2 2 2 2 2 2 5 8" xfId="6527"/>
    <cellStyle name="Normal 2 2 2 2 2 2 2 5 9" xfId="6528"/>
    <cellStyle name="Normal 2 2 2 2 2 2 2 6" xfId="6529"/>
    <cellStyle name="Normal 2 2 2 2 2 2 2 6 10" xfId="6530"/>
    <cellStyle name="Normal 2 2 2 2 2 2 2 6 11" xfId="6531"/>
    <cellStyle name="Normal 2 2 2 2 2 2 2 6 12" xfId="6532"/>
    <cellStyle name="Normal 2 2 2 2 2 2 2 6 13" xfId="6533"/>
    <cellStyle name="Normal 2 2 2 2 2 2 2 6 14" xfId="6534"/>
    <cellStyle name="Normal 2 2 2 2 2 2 2 6 15" xfId="6535"/>
    <cellStyle name="Normal 2 2 2 2 2 2 2 6 16" xfId="6536"/>
    <cellStyle name="Normal 2 2 2 2 2 2 2 6 17" xfId="6537"/>
    <cellStyle name="Normal 2 2 2 2 2 2 2 6 18" xfId="6538"/>
    <cellStyle name="Normal 2 2 2 2 2 2 2 6 19" xfId="6539"/>
    <cellStyle name="Normal 2 2 2 2 2 2 2 6 2" xfId="6540"/>
    <cellStyle name="Normal 2 2 2 2 2 2 2 6 20" xfId="6541"/>
    <cellStyle name="Normal 2 2 2 2 2 2 2 6 21" xfId="6542"/>
    <cellStyle name="Normal 2 2 2 2 2 2 2 6 22" xfId="6543"/>
    <cellStyle name="Normal 2 2 2 2 2 2 2 6 23" xfId="6544"/>
    <cellStyle name="Normal 2 2 2 2 2 2 2 6 3" xfId="6545"/>
    <cellStyle name="Normal 2 2 2 2 2 2 2 6 4" xfId="6546"/>
    <cellStyle name="Normal 2 2 2 2 2 2 2 6 5" xfId="6547"/>
    <cellStyle name="Normal 2 2 2 2 2 2 2 6 6" xfId="6548"/>
    <cellStyle name="Normal 2 2 2 2 2 2 2 6 7" xfId="6549"/>
    <cellStyle name="Normal 2 2 2 2 2 2 2 6 8" xfId="6550"/>
    <cellStyle name="Normal 2 2 2 2 2 2 2 6 9" xfId="6551"/>
    <cellStyle name="Normal 2 2 2 2 2 2 2 7" xfId="6552"/>
    <cellStyle name="Normal 2 2 2 2 2 2 2 7 10" xfId="6553"/>
    <cellStyle name="Normal 2 2 2 2 2 2 2 7 11" xfId="6554"/>
    <cellStyle name="Normal 2 2 2 2 2 2 2 7 12" xfId="6555"/>
    <cellStyle name="Normal 2 2 2 2 2 2 2 7 13" xfId="6556"/>
    <cellStyle name="Normal 2 2 2 2 2 2 2 7 14" xfId="6557"/>
    <cellStyle name="Normal 2 2 2 2 2 2 2 7 15" xfId="6558"/>
    <cellStyle name="Normal 2 2 2 2 2 2 2 7 16" xfId="6559"/>
    <cellStyle name="Normal 2 2 2 2 2 2 2 7 17" xfId="6560"/>
    <cellStyle name="Normal 2 2 2 2 2 2 2 7 18" xfId="6561"/>
    <cellStyle name="Normal 2 2 2 2 2 2 2 7 19" xfId="6562"/>
    <cellStyle name="Normal 2 2 2 2 2 2 2 7 2" xfId="6563"/>
    <cellStyle name="Normal 2 2 2 2 2 2 2 7 20" xfId="6564"/>
    <cellStyle name="Normal 2 2 2 2 2 2 2 7 21" xfId="6565"/>
    <cellStyle name="Normal 2 2 2 2 2 2 2 7 22" xfId="6566"/>
    <cellStyle name="Normal 2 2 2 2 2 2 2 7 23" xfId="6567"/>
    <cellStyle name="Normal 2 2 2 2 2 2 2 7 3" xfId="6568"/>
    <cellStyle name="Normal 2 2 2 2 2 2 2 7 4" xfId="6569"/>
    <cellStyle name="Normal 2 2 2 2 2 2 2 7 5" xfId="6570"/>
    <cellStyle name="Normal 2 2 2 2 2 2 2 7 6" xfId="6571"/>
    <cellStyle name="Normal 2 2 2 2 2 2 2 7 7" xfId="6572"/>
    <cellStyle name="Normal 2 2 2 2 2 2 2 7 8" xfId="6573"/>
    <cellStyle name="Normal 2 2 2 2 2 2 2 7 9" xfId="6574"/>
    <cellStyle name="Normal 2 2 2 2 2 2 2 8" xfId="6575"/>
    <cellStyle name="Normal 2 2 2 2 2 2 2 8 10" xfId="6576"/>
    <cellStyle name="Normal 2 2 2 2 2 2 2 8 11" xfId="6577"/>
    <cellStyle name="Normal 2 2 2 2 2 2 2 8 12" xfId="6578"/>
    <cellStyle name="Normal 2 2 2 2 2 2 2 8 13" xfId="6579"/>
    <cellStyle name="Normal 2 2 2 2 2 2 2 8 14" xfId="6580"/>
    <cellStyle name="Normal 2 2 2 2 2 2 2 8 15" xfId="6581"/>
    <cellStyle name="Normal 2 2 2 2 2 2 2 8 16" xfId="6582"/>
    <cellStyle name="Normal 2 2 2 2 2 2 2 8 17" xfId="6583"/>
    <cellStyle name="Normal 2 2 2 2 2 2 2 8 18" xfId="6584"/>
    <cellStyle name="Normal 2 2 2 2 2 2 2 8 19" xfId="6585"/>
    <cellStyle name="Normal 2 2 2 2 2 2 2 8 2" xfId="6586"/>
    <cellStyle name="Normal 2 2 2 2 2 2 2 8 20" xfId="6587"/>
    <cellStyle name="Normal 2 2 2 2 2 2 2 8 21" xfId="6588"/>
    <cellStyle name="Normal 2 2 2 2 2 2 2 8 22" xfId="6589"/>
    <cellStyle name="Normal 2 2 2 2 2 2 2 8 23" xfId="6590"/>
    <cellStyle name="Normal 2 2 2 2 2 2 2 8 3" xfId="6591"/>
    <cellStyle name="Normal 2 2 2 2 2 2 2 8 4" xfId="6592"/>
    <cellStyle name="Normal 2 2 2 2 2 2 2 8 5" xfId="6593"/>
    <cellStyle name="Normal 2 2 2 2 2 2 2 8 6" xfId="6594"/>
    <cellStyle name="Normal 2 2 2 2 2 2 2 8 7" xfId="6595"/>
    <cellStyle name="Normal 2 2 2 2 2 2 2 8 8" xfId="6596"/>
    <cellStyle name="Normal 2 2 2 2 2 2 2 8 9" xfId="6597"/>
    <cellStyle name="Normal 2 2 2 2 2 2 2 9" xfId="6598"/>
    <cellStyle name="Normal 2 2 2 2 2 2 2 9 10" xfId="6599"/>
    <cellStyle name="Normal 2 2 2 2 2 2 2 9 11" xfId="6600"/>
    <cellStyle name="Normal 2 2 2 2 2 2 2 9 12" xfId="6601"/>
    <cellStyle name="Normal 2 2 2 2 2 2 2 9 13" xfId="6602"/>
    <cellStyle name="Normal 2 2 2 2 2 2 2 9 14" xfId="6603"/>
    <cellStyle name="Normal 2 2 2 2 2 2 2 9 15" xfId="6604"/>
    <cellStyle name="Normal 2 2 2 2 2 2 2 9 16" xfId="6605"/>
    <cellStyle name="Normal 2 2 2 2 2 2 2 9 17" xfId="6606"/>
    <cellStyle name="Normal 2 2 2 2 2 2 2 9 18" xfId="6607"/>
    <cellStyle name="Normal 2 2 2 2 2 2 2 9 19" xfId="6608"/>
    <cellStyle name="Normal 2 2 2 2 2 2 2 9 2" xfId="6609"/>
    <cellStyle name="Normal 2 2 2 2 2 2 2 9 20" xfId="6610"/>
    <cellStyle name="Normal 2 2 2 2 2 2 2 9 21" xfId="6611"/>
    <cellStyle name="Normal 2 2 2 2 2 2 2 9 22" xfId="6612"/>
    <cellStyle name="Normal 2 2 2 2 2 2 2 9 23" xfId="6613"/>
    <cellStyle name="Normal 2 2 2 2 2 2 2 9 3" xfId="6614"/>
    <cellStyle name="Normal 2 2 2 2 2 2 2 9 4" xfId="6615"/>
    <cellStyle name="Normal 2 2 2 2 2 2 2 9 5" xfId="6616"/>
    <cellStyle name="Normal 2 2 2 2 2 2 2 9 6" xfId="6617"/>
    <cellStyle name="Normal 2 2 2 2 2 2 2 9 7" xfId="6618"/>
    <cellStyle name="Normal 2 2 2 2 2 2 2 9 8" xfId="6619"/>
    <cellStyle name="Normal 2 2 2 2 2 2 2 9 9" xfId="6620"/>
    <cellStyle name="Normal 2 2 2 2 2 2 20" xfId="6621"/>
    <cellStyle name="Normal 2 2 2 2 2 2 20 2" xfId="6622"/>
    <cellStyle name="Normal 2 2 2 2 2 2 20 3" xfId="6623"/>
    <cellStyle name="Normal 2 2 2 2 2 2 21" xfId="6624"/>
    <cellStyle name="Normal 2 2 2 2 2 2 21 2" xfId="6625"/>
    <cellStyle name="Normal 2 2 2 2 2 2 21 3" xfId="6626"/>
    <cellStyle name="Normal 2 2 2 2 2 2 22" xfId="6627"/>
    <cellStyle name="Normal 2 2 2 2 2 2 22 2" xfId="6628"/>
    <cellStyle name="Normal 2 2 2 2 2 2 22 3" xfId="6629"/>
    <cellStyle name="Normal 2 2 2 2 2 2 23" xfId="6630"/>
    <cellStyle name="Normal 2 2 2 2 2 2 23 2" xfId="6631"/>
    <cellStyle name="Normal 2 2 2 2 2 2 23 3" xfId="6632"/>
    <cellStyle name="Normal 2 2 2 2 2 2 24" xfId="6633"/>
    <cellStyle name="Normal 2 2 2 2 2 2 24 2" xfId="6634"/>
    <cellStyle name="Normal 2 2 2 2 2 2 24 3" xfId="6635"/>
    <cellStyle name="Normal 2 2 2 2 2 2 25" xfId="6636"/>
    <cellStyle name="Normal 2 2 2 2 2 2 25 2" xfId="6637"/>
    <cellStyle name="Normal 2 2 2 2 2 2 25 3" xfId="6638"/>
    <cellStyle name="Normal 2 2 2 2 2 2 26" xfId="6639"/>
    <cellStyle name="Normal 2 2 2 2 2 2 26 2" xfId="6640"/>
    <cellStyle name="Normal 2 2 2 2 2 2 26 3" xfId="6641"/>
    <cellStyle name="Normal 2 2 2 2 2 2 27" xfId="6642"/>
    <cellStyle name="Normal 2 2 2 2 2 2 27 2" xfId="6643"/>
    <cellStyle name="Normal 2 2 2 2 2 2 27 3" xfId="6644"/>
    <cellStyle name="Normal 2 2 2 2 2 2 28" xfId="6645"/>
    <cellStyle name="Normal 2 2 2 2 2 2 28 2" xfId="6646"/>
    <cellStyle name="Normal 2 2 2 2 2 2 28 3" xfId="6647"/>
    <cellStyle name="Normal 2 2 2 2 2 2 29" xfId="6648"/>
    <cellStyle name="Normal 2 2 2 2 2 2 29 2" xfId="6649"/>
    <cellStyle name="Normal 2 2 2 2 2 2 29 3" xfId="6650"/>
    <cellStyle name="Normal 2 2 2 2 2 2 3" xfId="6651"/>
    <cellStyle name="Normal 2 2 2 2 2 2 3 2" xfId="6652"/>
    <cellStyle name="Normal 2 2 2 2 2 2 30" xfId="6653"/>
    <cellStyle name="Normal 2 2 2 2 2 2 30 2" xfId="6654"/>
    <cellStyle name="Normal 2 2 2 2 2 2 30 3" xfId="6655"/>
    <cellStyle name="Normal 2 2 2 2 2 2 31" xfId="6656"/>
    <cellStyle name="Normal 2 2 2 2 2 2 31 2" xfId="6657"/>
    <cellStyle name="Normal 2 2 2 2 2 2 31 3" xfId="6658"/>
    <cellStyle name="Normal 2 2 2 2 2 2 32" xfId="6659"/>
    <cellStyle name="Normal 2 2 2 2 2 2 32 2" xfId="6660"/>
    <cellStyle name="Normal 2 2 2 2 2 2 32 3" xfId="6661"/>
    <cellStyle name="Normal 2 2 2 2 2 2 33" xfId="6662"/>
    <cellStyle name="Normal 2 2 2 2 2 2 34" xfId="6663"/>
    <cellStyle name="Normal 2 2 2 2 2 2 35" xfId="6664"/>
    <cellStyle name="Normal 2 2 2 2 2 2 36" xfId="6665"/>
    <cellStyle name="Normal 2 2 2 2 2 2 37" xfId="6666"/>
    <cellStyle name="Normal 2 2 2 2 2 2 38" xfId="6667"/>
    <cellStyle name="Normal 2 2 2 2 2 2 4" xfId="6668"/>
    <cellStyle name="Normal 2 2 2 2 2 2 4 2" xfId="6669"/>
    <cellStyle name="Normal 2 2 2 2 2 2 5" xfId="6670"/>
    <cellStyle name="Normal 2 2 2 2 2 2 5 2" xfId="6671"/>
    <cellStyle name="Normal 2 2 2 2 2 2 6" xfId="6672"/>
    <cellStyle name="Normal 2 2 2 2 2 2 6 2" xfId="6673"/>
    <cellStyle name="Normal 2 2 2 2 2 2 7" xfId="6674"/>
    <cellStyle name="Normal 2 2 2 2 2 2 7 2" xfId="6675"/>
    <cellStyle name="Normal 2 2 2 2 2 2 8" xfId="6676"/>
    <cellStyle name="Normal 2 2 2 2 2 2 8 2" xfId="6677"/>
    <cellStyle name="Normal 2 2 2 2 2 2 9" xfId="6678"/>
    <cellStyle name="Normal 2 2 2 2 2 2 9 2" xfId="6679"/>
    <cellStyle name="Normal 2 2 2 2 2 20" xfId="6680"/>
    <cellStyle name="Normal 2 2 2 2 2 20 2" xfId="6681"/>
    <cellStyle name="Normal 2 2 2 2 2 21" xfId="6682"/>
    <cellStyle name="Normal 2 2 2 2 2 21 2" xfId="6683"/>
    <cellStyle name="Normal 2 2 2 2 2 22" xfId="6684"/>
    <cellStyle name="Normal 2 2 2 2 2 22 2" xfId="6685"/>
    <cellStyle name="Normal 2 2 2 2 2 23" xfId="6686"/>
    <cellStyle name="Normal 2 2 2 2 2 23 2" xfId="6687"/>
    <cellStyle name="Normal 2 2 2 2 2 24" xfId="6688"/>
    <cellStyle name="Normal 2 2 2 2 2 24 2" xfId="6689"/>
    <cellStyle name="Normal 2 2 2 2 2 25" xfId="6690"/>
    <cellStyle name="Normal 2 2 2 2 2 25 2" xfId="6691"/>
    <cellStyle name="Normal 2 2 2 2 2 26" xfId="6692"/>
    <cellStyle name="Normal 2 2 2 2 2 26 2" xfId="6693"/>
    <cellStyle name="Normal 2 2 2 2 2 27" xfId="6694"/>
    <cellStyle name="Normal 2 2 2 2 2 27 2" xfId="6695"/>
    <cellStyle name="Normal 2 2 2 2 2 28" xfId="6696"/>
    <cellStyle name="Normal 2 2 2 2 2 28 2" xfId="6697"/>
    <cellStyle name="Normal 2 2 2 2 2 29" xfId="6698"/>
    <cellStyle name="Normal 2 2 2 2 2 29 2" xfId="6699"/>
    <cellStyle name="Normal 2 2 2 2 2 3" xfId="6700"/>
    <cellStyle name="Normal 2 2 2 2 2 3 10" xfId="6701"/>
    <cellStyle name="Normal 2 2 2 2 2 3 10 2" xfId="6702"/>
    <cellStyle name="Normal 2 2 2 2 2 3 11" xfId="6703"/>
    <cellStyle name="Normal 2 2 2 2 2 3 11 2" xfId="6704"/>
    <cellStyle name="Normal 2 2 2 2 2 3 12" xfId="6705"/>
    <cellStyle name="Normal 2 2 2 2 2 3 12 2" xfId="6706"/>
    <cellStyle name="Normal 2 2 2 2 2 3 13" xfId="6707"/>
    <cellStyle name="Normal 2 2 2 2 2 3 13 2" xfId="6708"/>
    <cellStyle name="Normal 2 2 2 2 2 3 14" xfId="6709"/>
    <cellStyle name="Normal 2 2 2 2 2 3 14 2" xfId="6710"/>
    <cellStyle name="Normal 2 2 2 2 2 3 15" xfId="6711"/>
    <cellStyle name="Normal 2 2 2 2 2 3 15 2" xfId="6712"/>
    <cellStyle name="Normal 2 2 2 2 2 3 16" xfId="6713"/>
    <cellStyle name="Normal 2 2 2 2 2 3 16 2" xfId="6714"/>
    <cellStyle name="Normal 2 2 2 2 2 3 17" xfId="6715"/>
    <cellStyle name="Normal 2 2 2 2 2 3 17 2" xfId="6716"/>
    <cellStyle name="Normal 2 2 2 2 2 3 18" xfId="6717"/>
    <cellStyle name="Normal 2 2 2 2 2 3 18 2" xfId="6718"/>
    <cellStyle name="Normal 2 2 2 2 2 3 19" xfId="6719"/>
    <cellStyle name="Normal 2 2 2 2 2 3 19 2" xfId="6720"/>
    <cellStyle name="Normal 2 2 2 2 2 3 2" xfId="6721"/>
    <cellStyle name="Normal 2 2 2 2 2 3 2 10" xfId="6722"/>
    <cellStyle name="Normal 2 2 2 2 2 3 2 11" xfId="6723"/>
    <cellStyle name="Normal 2 2 2 2 2 3 2 12" xfId="6724"/>
    <cellStyle name="Normal 2 2 2 2 2 3 2 13" xfId="6725"/>
    <cellStyle name="Normal 2 2 2 2 2 3 2 14" xfId="6726"/>
    <cellStyle name="Normal 2 2 2 2 2 3 2 15" xfId="6727"/>
    <cellStyle name="Normal 2 2 2 2 2 3 2 16" xfId="6728"/>
    <cellStyle name="Normal 2 2 2 2 2 3 2 17" xfId="6729"/>
    <cellStyle name="Normal 2 2 2 2 2 3 2 18" xfId="6730"/>
    <cellStyle name="Normal 2 2 2 2 2 3 2 19" xfId="6731"/>
    <cellStyle name="Normal 2 2 2 2 2 3 2 2" xfId="6732"/>
    <cellStyle name="Normal 2 2 2 2 2 3 2 20" xfId="6733"/>
    <cellStyle name="Normal 2 2 2 2 2 3 2 21" xfId="6734"/>
    <cellStyle name="Normal 2 2 2 2 2 3 2 22" xfId="6735"/>
    <cellStyle name="Normal 2 2 2 2 2 3 2 23" xfId="6736"/>
    <cellStyle name="Normal 2 2 2 2 2 3 2 24" xfId="6737"/>
    <cellStyle name="Normal 2 2 2 2 2 3 2 25" xfId="6738"/>
    <cellStyle name="Normal 2 2 2 2 2 3 2 3" xfId="6739"/>
    <cellStyle name="Normal 2 2 2 2 2 3 2 4" xfId="6740"/>
    <cellStyle name="Normal 2 2 2 2 2 3 2 5" xfId="6741"/>
    <cellStyle name="Normal 2 2 2 2 2 3 2 6" xfId="6742"/>
    <cellStyle name="Normal 2 2 2 2 2 3 2 7" xfId="6743"/>
    <cellStyle name="Normal 2 2 2 2 2 3 2 8" xfId="6744"/>
    <cellStyle name="Normal 2 2 2 2 2 3 2 9" xfId="6745"/>
    <cellStyle name="Normal 2 2 2 2 2 3 20" xfId="6746"/>
    <cellStyle name="Normal 2 2 2 2 2 3 20 2" xfId="6747"/>
    <cellStyle name="Normal 2 2 2 2 2 3 21" xfId="6748"/>
    <cellStyle name="Normal 2 2 2 2 2 3 21 2" xfId="6749"/>
    <cellStyle name="Normal 2 2 2 2 2 3 22" xfId="6750"/>
    <cellStyle name="Normal 2 2 2 2 2 3 22 2" xfId="6751"/>
    <cellStyle name="Normal 2 2 2 2 2 3 23" xfId="6752"/>
    <cellStyle name="Normal 2 2 2 2 2 3 23 2" xfId="6753"/>
    <cellStyle name="Normal 2 2 2 2 2 3 3" xfId="6754"/>
    <cellStyle name="Normal 2 2 2 2 2 3 3 2" xfId="6755"/>
    <cellStyle name="Normal 2 2 2 2 2 3 4" xfId="6756"/>
    <cellStyle name="Normal 2 2 2 2 2 3 4 2" xfId="6757"/>
    <cellStyle name="Normal 2 2 2 2 2 3 5" xfId="6758"/>
    <cellStyle name="Normal 2 2 2 2 2 3 5 2" xfId="6759"/>
    <cellStyle name="Normal 2 2 2 2 2 3 6" xfId="6760"/>
    <cellStyle name="Normal 2 2 2 2 2 3 6 2" xfId="6761"/>
    <cellStyle name="Normal 2 2 2 2 2 3 7" xfId="6762"/>
    <cellStyle name="Normal 2 2 2 2 2 3 7 2" xfId="6763"/>
    <cellStyle name="Normal 2 2 2 2 2 3 8" xfId="6764"/>
    <cellStyle name="Normal 2 2 2 2 2 3 8 2" xfId="6765"/>
    <cellStyle name="Normal 2 2 2 2 2 3 9" xfId="6766"/>
    <cellStyle name="Normal 2 2 2 2 2 3 9 2" xfId="6767"/>
    <cellStyle name="Normal 2 2 2 2 2 30" xfId="6768"/>
    <cellStyle name="Normal 2 2 2 2 2 30 2" xfId="6769"/>
    <cellStyle name="Normal 2 2 2 2 2 31" xfId="6770"/>
    <cellStyle name="Normal 2 2 2 2 2 31 2" xfId="6771"/>
    <cellStyle name="Normal 2 2 2 2 2 32" xfId="6772"/>
    <cellStyle name="Normal 2 2 2 2 2 32 2" xfId="6773"/>
    <cellStyle name="Normal 2 2 2 2 2 33" xfId="6774"/>
    <cellStyle name="Normal 2 2 2 2 2 34" xfId="6775"/>
    <cellStyle name="Normal 2 2 2 2 2 35" xfId="6776"/>
    <cellStyle name="Normal 2 2 2 2 2 36" xfId="6777"/>
    <cellStyle name="Normal 2 2 2 2 2 37" xfId="6778"/>
    <cellStyle name="Normal 2 2 2 2 2 38" xfId="6779"/>
    <cellStyle name="Normal 2 2 2 2 2 39" xfId="6780"/>
    <cellStyle name="Normal 2 2 2 2 2 4" xfId="6781"/>
    <cellStyle name="Normal 2 2 2 2 2 5" xfId="6782"/>
    <cellStyle name="Normal 2 2 2 2 2 6" xfId="6783"/>
    <cellStyle name="Normal 2 2 2 2 2 7" xfId="6784"/>
    <cellStyle name="Normal 2 2 2 2 2 8" xfId="6785"/>
    <cellStyle name="Normal 2 2 2 2 2 9" xfId="6786"/>
    <cellStyle name="Normal 2 2 2 2 20" xfId="6787"/>
    <cellStyle name="Normal 2 2 2 2 20 2" xfId="6788"/>
    <cellStyle name="Normal 2 2 2 2 20 3" xfId="6789"/>
    <cellStyle name="Normal 2 2 2 2 21" xfId="6790"/>
    <cellStyle name="Normal 2 2 2 2 21 2" xfId="6791"/>
    <cellStyle name="Normal 2 2 2 2 21 3" xfId="6792"/>
    <cellStyle name="Normal 2 2 2 2 22" xfId="6793"/>
    <cellStyle name="Normal 2 2 2 2 22 2" xfId="6794"/>
    <cellStyle name="Normal 2 2 2 2 22 3" xfId="6795"/>
    <cellStyle name="Normal 2 2 2 2 23" xfId="6796"/>
    <cellStyle name="Normal 2 2 2 2 23 2" xfId="6797"/>
    <cellStyle name="Normal 2 2 2 2 23 3" xfId="6798"/>
    <cellStyle name="Normal 2 2 2 2 24" xfId="6799"/>
    <cellStyle name="Normal 2 2 2 2 24 2" xfId="6800"/>
    <cellStyle name="Normal 2 2 2 2 24 3" xfId="6801"/>
    <cellStyle name="Normal 2 2 2 2 25" xfId="6802"/>
    <cellStyle name="Normal 2 2 2 2 25 2" xfId="6803"/>
    <cellStyle name="Normal 2 2 2 2 25 3" xfId="6804"/>
    <cellStyle name="Normal 2 2 2 2 26" xfId="6805"/>
    <cellStyle name="Normal 2 2 2 2 26 2" xfId="6806"/>
    <cellStyle name="Normal 2 2 2 2 26 3" xfId="6807"/>
    <cellStyle name="Normal 2 2 2 2 27" xfId="6808"/>
    <cellStyle name="Normal 2 2 2 2 27 2" xfId="6809"/>
    <cellStyle name="Normal 2 2 2 2 27 3" xfId="6810"/>
    <cellStyle name="Normal 2 2 2 2 28" xfId="6811"/>
    <cellStyle name="Normal 2 2 2 2 28 2" xfId="6812"/>
    <cellStyle name="Normal 2 2 2 2 28 3" xfId="6813"/>
    <cellStyle name="Normal 2 2 2 2 29" xfId="6814"/>
    <cellStyle name="Normal 2 2 2 2 29 2" xfId="6815"/>
    <cellStyle name="Normal 2 2 2 2 29 3" xfId="6816"/>
    <cellStyle name="Normal 2 2 2 2 3" xfId="6817"/>
    <cellStyle name="Normal 2 2 2 2 3 10" xfId="6818"/>
    <cellStyle name="Normal 2 2 2 2 3 11" xfId="6819"/>
    <cellStyle name="Normal 2 2 2 2 3 12" xfId="6820"/>
    <cellStyle name="Normal 2 2 2 2 3 13" xfId="6821"/>
    <cellStyle name="Normal 2 2 2 2 3 14" xfId="6822"/>
    <cellStyle name="Normal 2 2 2 2 3 15" xfId="6823"/>
    <cellStyle name="Normal 2 2 2 2 3 16" xfId="6824"/>
    <cellStyle name="Normal 2 2 2 2 3 17" xfId="6825"/>
    <cellStyle name="Normal 2 2 2 2 3 18" xfId="6826"/>
    <cellStyle name="Normal 2 2 2 2 3 19" xfId="6827"/>
    <cellStyle name="Normal 2 2 2 2 3 2" xfId="6828"/>
    <cellStyle name="Normal 2 2 2 2 3 2 10" xfId="6829"/>
    <cellStyle name="Normal 2 2 2 2 3 2 10 2" xfId="6830"/>
    <cellStyle name="Normal 2 2 2 2 3 2 11" xfId="6831"/>
    <cellStyle name="Normal 2 2 2 2 3 2 11 2" xfId="6832"/>
    <cellStyle name="Normal 2 2 2 2 3 2 12" xfId="6833"/>
    <cellStyle name="Normal 2 2 2 2 3 2 12 2" xfId="6834"/>
    <cellStyle name="Normal 2 2 2 2 3 2 13" xfId="6835"/>
    <cellStyle name="Normal 2 2 2 2 3 2 13 2" xfId="6836"/>
    <cellStyle name="Normal 2 2 2 2 3 2 14" xfId="6837"/>
    <cellStyle name="Normal 2 2 2 2 3 2 14 2" xfId="6838"/>
    <cellStyle name="Normal 2 2 2 2 3 2 15" xfId="6839"/>
    <cellStyle name="Normal 2 2 2 2 3 2 15 2" xfId="6840"/>
    <cellStyle name="Normal 2 2 2 2 3 2 16" xfId="6841"/>
    <cellStyle name="Normal 2 2 2 2 3 2 16 2" xfId="6842"/>
    <cellStyle name="Normal 2 2 2 2 3 2 17" xfId="6843"/>
    <cellStyle name="Normal 2 2 2 2 3 2 17 2" xfId="6844"/>
    <cellStyle name="Normal 2 2 2 2 3 2 18" xfId="6845"/>
    <cellStyle name="Normal 2 2 2 2 3 2 18 2" xfId="6846"/>
    <cellStyle name="Normal 2 2 2 2 3 2 19" xfId="6847"/>
    <cellStyle name="Normal 2 2 2 2 3 2 19 2" xfId="6848"/>
    <cellStyle name="Normal 2 2 2 2 3 2 2" xfId="6849"/>
    <cellStyle name="Normal 2 2 2 2 3 2 2 2" xfId="6850"/>
    <cellStyle name="Normal 2 2 2 2 3 2 20" xfId="6851"/>
    <cellStyle name="Normal 2 2 2 2 3 2 20 2" xfId="6852"/>
    <cellStyle name="Normal 2 2 2 2 3 2 21" xfId="6853"/>
    <cellStyle name="Normal 2 2 2 2 3 2 21 2" xfId="6854"/>
    <cellStyle name="Normal 2 2 2 2 3 2 22" xfId="6855"/>
    <cellStyle name="Normal 2 2 2 2 3 2 22 2" xfId="6856"/>
    <cellStyle name="Normal 2 2 2 2 3 2 23" xfId="6857"/>
    <cellStyle name="Normal 2 2 2 2 3 2 23 2" xfId="6858"/>
    <cellStyle name="Normal 2 2 2 2 3 2 24" xfId="6859"/>
    <cellStyle name="Normal 2 2 2 2 3 2 3" xfId="6860"/>
    <cellStyle name="Normal 2 2 2 2 3 2 3 2" xfId="6861"/>
    <cellStyle name="Normal 2 2 2 2 3 2 4" xfId="6862"/>
    <cellStyle name="Normal 2 2 2 2 3 2 4 2" xfId="6863"/>
    <cellStyle name="Normal 2 2 2 2 3 2 5" xfId="6864"/>
    <cellStyle name="Normal 2 2 2 2 3 2 5 2" xfId="6865"/>
    <cellStyle name="Normal 2 2 2 2 3 2 6" xfId="6866"/>
    <cellStyle name="Normal 2 2 2 2 3 2 6 2" xfId="6867"/>
    <cellStyle name="Normal 2 2 2 2 3 2 7" xfId="6868"/>
    <cellStyle name="Normal 2 2 2 2 3 2 7 2" xfId="6869"/>
    <cellStyle name="Normal 2 2 2 2 3 2 8" xfId="6870"/>
    <cellStyle name="Normal 2 2 2 2 3 2 8 2" xfId="6871"/>
    <cellStyle name="Normal 2 2 2 2 3 2 9" xfId="6872"/>
    <cellStyle name="Normal 2 2 2 2 3 2 9 2" xfId="6873"/>
    <cellStyle name="Normal 2 2 2 2 3 20" xfId="6874"/>
    <cellStyle name="Normal 2 2 2 2 3 21" xfId="6875"/>
    <cellStyle name="Normal 2 2 2 2 3 22" xfId="6876"/>
    <cellStyle name="Normal 2 2 2 2 3 23" xfId="6877"/>
    <cellStyle name="Normal 2 2 2 2 3 24" xfId="6878"/>
    <cellStyle name="Normal 2 2 2 2 3 3" xfId="6879"/>
    <cellStyle name="Normal 2 2 2 2 3 4" xfId="6880"/>
    <cellStyle name="Normal 2 2 2 2 3 5" xfId="6881"/>
    <cellStyle name="Normal 2 2 2 2 3 6" xfId="6882"/>
    <cellStyle name="Normal 2 2 2 2 3 7" xfId="6883"/>
    <cellStyle name="Normal 2 2 2 2 3 8" xfId="6884"/>
    <cellStyle name="Normal 2 2 2 2 3 9" xfId="6885"/>
    <cellStyle name="Normal 2 2 2 2 30" xfId="6886"/>
    <cellStyle name="Normal 2 2 2 2 30 2" xfId="6887"/>
    <cellStyle name="Normal 2 2 2 2 30 3" xfId="6888"/>
    <cellStyle name="Normal 2 2 2 2 31" xfId="6889"/>
    <cellStyle name="Normal 2 2 2 2 31 2" xfId="6890"/>
    <cellStyle name="Normal 2 2 2 2 31 3" xfId="6891"/>
    <cellStyle name="Normal 2 2 2 2 32" xfId="6892"/>
    <cellStyle name="Normal 2 2 2 2 32 2" xfId="6893"/>
    <cellStyle name="Normal 2 2 2 2 32 3" xfId="6894"/>
    <cellStyle name="Normal 2 2 2 2 33" xfId="6895"/>
    <cellStyle name="Normal 2 2 2 2 33 2" xfId="6896"/>
    <cellStyle name="Normal 2 2 2 2 33 3" xfId="6897"/>
    <cellStyle name="Normal 2 2 2 2 34" xfId="6898"/>
    <cellStyle name="Normal 2 2 2 2 35" xfId="6899"/>
    <cellStyle name="Normal 2 2 2 2 36" xfId="6900"/>
    <cellStyle name="Normal 2 2 2 2 37" xfId="6901"/>
    <cellStyle name="Normal 2 2 2 2 38" xfId="6902"/>
    <cellStyle name="Normal 2 2 2 2 39" xfId="6903"/>
    <cellStyle name="Normal 2 2 2 2 4" xfId="6904"/>
    <cellStyle name="Normal 2 2 2 2 4 2" xfId="6905"/>
    <cellStyle name="Normal 2 2 2 2 5" xfId="6906"/>
    <cellStyle name="Normal 2 2 2 2 5 2" xfId="6907"/>
    <cellStyle name="Normal 2 2 2 2 6" xfId="6908"/>
    <cellStyle name="Normal 2 2 2 2 6 2" xfId="6909"/>
    <cellStyle name="Normal 2 2 2 2 7" xfId="6910"/>
    <cellStyle name="Normal 2 2 2 2 7 2" xfId="6911"/>
    <cellStyle name="Normal 2 2 2 2 8" xfId="6912"/>
    <cellStyle name="Normal 2 2 2 2 8 2" xfId="6913"/>
    <cellStyle name="Normal 2 2 2 2 9" xfId="6914"/>
    <cellStyle name="Normal 2 2 2 2 9 2" xfId="6915"/>
    <cellStyle name="Normal 2 2 2 20" xfId="6916"/>
    <cellStyle name="Normal 2 2 2 21" xfId="6917"/>
    <cellStyle name="Normal 2 2 2 22" xfId="6918"/>
    <cellStyle name="Normal 2 2 2 23" xfId="6919"/>
    <cellStyle name="Normal 2 2 2 24" xfId="6920"/>
    <cellStyle name="Normal 2 2 2 25" xfId="6921"/>
    <cellStyle name="Normal 2 2 2 26" xfId="6922"/>
    <cellStyle name="Normal 2 2 2 27" xfId="6923"/>
    <cellStyle name="Normal 2 2 2 27 10" xfId="6924"/>
    <cellStyle name="Normal 2 2 2 27 10 2" xfId="6925"/>
    <cellStyle name="Normal 2 2 2 27 11" xfId="6926"/>
    <cellStyle name="Normal 2 2 2 27 11 2" xfId="6927"/>
    <cellStyle name="Normal 2 2 2 27 12" xfId="6928"/>
    <cellStyle name="Normal 2 2 2 27 12 2" xfId="6929"/>
    <cellStyle name="Normal 2 2 2 27 13" xfId="6930"/>
    <cellStyle name="Normal 2 2 2 27 13 2" xfId="6931"/>
    <cellStyle name="Normal 2 2 2 27 14" xfId="6932"/>
    <cellStyle name="Normal 2 2 2 27 14 2" xfId="6933"/>
    <cellStyle name="Normal 2 2 2 27 15" xfId="6934"/>
    <cellStyle name="Normal 2 2 2 27 15 2" xfId="6935"/>
    <cellStyle name="Normal 2 2 2 27 16" xfId="6936"/>
    <cellStyle name="Normal 2 2 2 27 16 2" xfId="6937"/>
    <cellStyle name="Normal 2 2 2 27 17" xfId="6938"/>
    <cellStyle name="Normal 2 2 2 27 17 2" xfId="6939"/>
    <cellStyle name="Normal 2 2 2 27 18" xfId="6940"/>
    <cellStyle name="Normal 2 2 2 27 18 2" xfId="6941"/>
    <cellStyle name="Normal 2 2 2 27 19" xfId="6942"/>
    <cellStyle name="Normal 2 2 2 27 19 2" xfId="6943"/>
    <cellStyle name="Normal 2 2 2 27 2" xfId="6944"/>
    <cellStyle name="Normal 2 2 2 27 2 10" xfId="6945"/>
    <cellStyle name="Normal 2 2 2 27 2 11" xfId="6946"/>
    <cellStyle name="Normal 2 2 2 27 2 12" xfId="6947"/>
    <cellStyle name="Normal 2 2 2 27 2 13" xfId="6948"/>
    <cellStyle name="Normal 2 2 2 27 2 14" xfId="6949"/>
    <cellStyle name="Normal 2 2 2 27 2 15" xfId="6950"/>
    <cellStyle name="Normal 2 2 2 27 2 16" xfId="6951"/>
    <cellStyle name="Normal 2 2 2 27 2 17" xfId="6952"/>
    <cellStyle name="Normal 2 2 2 27 2 18" xfId="6953"/>
    <cellStyle name="Normal 2 2 2 27 2 19" xfId="6954"/>
    <cellStyle name="Normal 2 2 2 27 2 2" xfId="6955"/>
    <cellStyle name="Normal 2 2 2 27 2 20" xfId="6956"/>
    <cellStyle name="Normal 2 2 2 27 2 21" xfId="6957"/>
    <cellStyle name="Normal 2 2 2 27 2 22" xfId="6958"/>
    <cellStyle name="Normal 2 2 2 27 2 23" xfId="6959"/>
    <cellStyle name="Normal 2 2 2 27 2 24" xfId="6960"/>
    <cellStyle name="Normal 2 2 2 27 2 25" xfId="6961"/>
    <cellStyle name="Normal 2 2 2 27 2 3" xfId="6962"/>
    <cellStyle name="Normal 2 2 2 27 2 4" xfId="6963"/>
    <cellStyle name="Normal 2 2 2 27 2 5" xfId="6964"/>
    <cellStyle name="Normal 2 2 2 27 2 6" xfId="6965"/>
    <cellStyle name="Normal 2 2 2 27 2 7" xfId="6966"/>
    <cellStyle name="Normal 2 2 2 27 2 8" xfId="6967"/>
    <cellStyle name="Normal 2 2 2 27 2 9" xfId="6968"/>
    <cellStyle name="Normal 2 2 2 27 20" xfId="6969"/>
    <cellStyle name="Normal 2 2 2 27 20 2" xfId="6970"/>
    <cellStyle name="Normal 2 2 2 27 21" xfId="6971"/>
    <cellStyle name="Normal 2 2 2 27 21 2" xfId="6972"/>
    <cellStyle name="Normal 2 2 2 27 22" xfId="6973"/>
    <cellStyle name="Normal 2 2 2 27 22 2" xfId="6974"/>
    <cellStyle name="Normal 2 2 2 27 23" xfId="6975"/>
    <cellStyle name="Normal 2 2 2 27 23 2" xfId="6976"/>
    <cellStyle name="Normal 2 2 2 27 3" xfId="6977"/>
    <cellStyle name="Normal 2 2 2 27 3 2" xfId="6978"/>
    <cellStyle name="Normal 2 2 2 27 4" xfId="6979"/>
    <cellStyle name="Normal 2 2 2 27 4 2" xfId="6980"/>
    <cellStyle name="Normal 2 2 2 27 5" xfId="6981"/>
    <cellStyle name="Normal 2 2 2 27 5 2" xfId="6982"/>
    <cellStyle name="Normal 2 2 2 27 6" xfId="6983"/>
    <cellStyle name="Normal 2 2 2 27 6 2" xfId="6984"/>
    <cellStyle name="Normal 2 2 2 27 7" xfId="6985"/>
    <cellStyle name="Normal 2 2 2 27 7 2" xfId="6986"/>
    <cellStyle name="Normal 2 2 2 27 8" xfId="6987"/>
    <cellStyle name="Normal 2 2 2 27 8 2" xfId="6988"/>
    <cellStyle name="Normal 2 2 2 27 9" xfId="6989"/>
    <cellStyle name="Normal 2 2 2 27 9 2" xfId="6990"/>
    <cellStyle name="Normal 2 2 2 28" xfId="6991"/>
    <cellStyle name="Normal 2 2 2 29" xfId="6992"/>
    <cellStyle name="Normal 2 2 2 3" xfId="6993"/>
    <cellStyle name="Normal 2 2 2 3 10" xfId="6994"/>
    <cellStyle name="Normal 2 2 2 3 11" xfId="6995"/>
    <cellStyle name="Normal 2 2 2 3 12" xfId="6996"/>
    <cellStyle name="Normal 2 2 2 3 13" xfId="6997"/>
    <cellStyle name="Normal 2 2 2 3 14" xfId="6998"/>
    <cellStyle name="Normal 2 2 2 3 15" xfId="6999"/>
    <cellStyle name="Normal 2 2 2 3 16" xfId="7000"/>
    <cellStyle name="Normal 2 2 2 3 17" xfId="7001"/>
    <cellStyle name="Normal 2 2 2 3 18" xfId="7002"/>
    <cellStyle name="Normal 2 2 2 3 19" xfId="7003"/>
    <cellStyle name="Normal 2 2 2 3 2" xfId="7004"/>
    <cellStyle name="Normal 2 2 2 3 2 10" xfId="7005"/>
    <cellStyle name="Normal 2 2 2 3 2 11" xfId="7006"/>
    <cellStyle name="Normal 2 2 2 3 2 12" xfId="7007"/>
    <cellStyle name="Normal 2 2 2 3 2 13" xfId="7008"/>
    <cellStyle name="Normal 2 2 2 3 2 14" xfId="7009"/>
    <cellStyle name="Normal 2 2 2 3 2 15" xfId="7010"/>
    <cellStyle name="Normal 2 2 2 3 2 16" xfId="7011"/>
    <cellStyle name="Normal 2 2 2 3 2 17" xfId="7012"/>
    <cellStyle name="Normal 2 2 2 3 2 18" xfId="7013"/>
    <cellStyle name="Normal 2 2 2 3 2 19" xfId="7014"/>
    <cellStyle name="Normal 2 2 2 3 2 2" xfId="7015"/>
    <cellStyle name="Normal 2 2 2 3 2 20" xfId="7016"/>
    <cellStyle name="Normal 2 2 2 3 2 21" xfId="7017"/>
    <cellStyle name="Normal 2 2 2 3 2 22" xfId="7018"/>
    <cellStyle name="Normal 2 2 2 3 2 23" xfId="7019"/>
    <cellStyle name="Normal 2 2 2 3 2 24" xfId="7020"/>
    <cellStyle name="Normal 2 2 2 3 2 25" xfId="7021"/>
    <cellStyle name="Normal 2 2 2 3 2 26" xfId="7022"/>
    <cellStyle name="Normal 2 2 2 3 2 27" xfId="7023"/>
    <cellStyle name="Normal 2 2 2 3 2 28" xfId="7024"/>
    <cellStyle name="Normal 2 2 2 3 2 29" xfId="7025"/>
    <cellStyle name="Normal 2 2 2 3 2 3" xfId="7026"/>
    <cellStyle name="Normal 2 2 2 3 2 30" xfId="7027"/>
    <cellStyle name="Normal 2 2 2 3 2 31" xfId="7028"/>
    <cellStyle name="Normal 2 2 2 3 2 32" xfId="7029"/>
    <cellStyle name="Normal 2 2 2 3 2 33" xfId="7030"/>
    <cellStyle name="Normal 2 2 2 3 2 4" xfId="7031"/>
    <cellStyle name="Normal 2 2 2 3 2 5" xfId="7032"/>
    <cellStyle name="Normal 2 2 2 3 2 6" xfId="7033"/>
    <cellStyle name="Normal 2 2 2 3 2 7" xfId="7034"/>
    <cellStyle name="Normal 2 2 2 3 2 8" xfId="7035"/>
    <cellStyle name="Normal 2 2 2 3 2 9" xfId="7036"/>
    <cellStyle name="Normal 2 2 2 3 20" xfId="7037"/>
    <cellStyle name="Normal 2 2 2 3 21" xfId="7038"/>
    <cellStyle name="Normal 2 2 2 3 22" xfId="7039"/>
    <cellStyle name="Normal 2 2 2 3 23" xfId="7040"/>
    <cellStyle name="Normal 2 2 2 3 24" xfId="7041"/>
    <cellStyle name="Normal 2 2 2 3 25" xfId="7042"/>
    <cellStyle name="Normal 2 2 2 3 26" xfId="7043"/>
    <cellStyle name="Normal 2 2 2 3 27" xfId="7044"/>
    <cellStyle name="Normal 2 2 2 3 28" xfId="7045"/>
    <cellStyle name="Normal 2 2 2 3 29" xfId="7046"/>
    <cellStyle name="Normal 2 2 2 3 3" xfId="7047"/>
    <cellStyle name="Normal 2 2 2 3 30" xfId="7048"/>
    <cellStyle name="Normal 2 2 2 3 31" xfId="7049"/>
    <cellStyle name="Normal 2 2 2 3 4" xfId="7050"/>
    <cellStyle name="Normal 2 2 2 3 5" xfId="7051"/>
    <cellStyle name="Normal 2 2 2 3 6" xfId="7052"/>
    <cellStyle name="Normal 2 2 2 3 7" xfId="7053"/>
    <cellStyle name="Normal 2 2 2 3 8" xfId="7054"/>
    <cellStyle name="Normal 2 2 2 3 9" xfId="7055"/>
    <cellStyle name="Normal 2 2 2 30" xfId="7056"/>
    <cellStyle name="Normal 2 2 2 31" xfId="7057"/>
    <cellStyle name="Normal 2 2 2 32" xfId="7058"/>
    <cellStyle name="Normal 2 2 2 33" xfId="7059"/>
    <cellStyle name="Normal 2 2 2 34" xfId="7060"/>
    <cellStyle name="Normal 2 2 2 35" xfId="7061"/>
    <cellStyle name="Normal 2 2 2 35 10" xfId="7062"/>
    <cellStyle name="Normal 2 2 2 35 11" xfId="7063"/>
    <cellStyle name="Normal 2 2 2 35 12" xfId="7064"/>
    <cellStyle name="Normal 2 2 2 35 13" xfId="7065"/>
    <cellStyle name="Normal 2 2 2 35 14" xfId="7066"/>
    <cellStyle name="Normal 2 2 2 35 15" xfId="7067"/>
    <cellStyle name="Normal 2 2 2 35 16" xfId="7068"/>
    <cellStyle name="Normal 2 2 2 35 17" xfId="7069"/>
    <cellStyle name="Normal 2 2 2 35 18" xfId="7070"/>
    <cellStyle name="Normal 2 2 2 35 19" xfId="7071"/>
    <cellStyle name="Normal 2 2 2 35 2" xfId="7072"/>
    <cellStyle name="Normal 2 2 2 35 20" xfId="7073"/>
    <cellStyle name="Normal 2 2 2 35 21" xfId="7074"/>
    <cellStyle name="Normal 2 2 2 35 22" xfId="7075"/>
    <cellStyle name="Normal 2 2 2 35 23" xfId="7076"/>
    <cellStyle name="Normal 2 2 2 35 3" xfId="7077"/>
    <cellStyle name="Normal 2 2 2 35 4" xfId="7078"/>
    <cellStyle name="Normal 2 2 2 35 5" xfId="7079"/>
    <cellStyle name="Normal 2 2 2 35 6" xfId="7080"/>
    <cellStyle name="Normal 2 2 2 35 7" xfId="7081"/>
    <cellStyle name="Normal 2 2 2 35 8" xfId="7082"/>
    <cellStyle name="Normal 2 2 2 35 9" xfId="7083"/>
    <cellStyle name="Normal 2 2 2 36" xfId="7084"/>
    <cellStyle name="Normal 2 2 2 36 10" xfId="7085"/>
    <cellStyle name="Normal 2 2 2 36 11" xfId="7086"/>
    <cellStyle name="Normal 2 2 2 36 12" xfId="7087"/>
    <cellStyle name="Normal 2 2 2 36 13" xfId="7088"/>
    <cellStyle name="Normal 2 2 2 36 14" xfId="7089"/>
    <cellStyle name="Normal 2 2 2 36 15" xfId="7090"/>
    <cellStyle name="Normal 2 2 2 36 16" xfId="7091"/>
    <cellStyle name="Normal 2 2 2 36 17" xfId="7092"/>
    <cellStyle name="Normal 2 2 2 36 18" xfId="7093"/>
    <cellStyle name="Normal 2 2 2 36 19" xfId="7094"/>
    <cellStyle name="Normal 2 2 2 36 2" xfId="7095"/>
    <cellStyle name="Normal 2 2 2 36 20" xfId="7096"/>
    <cellStyle name="Normal 2 2 2 36 21" xfId="7097"/>
    <cellStyle name="Normal 2 2 2 36 22" xfId="7098"/>
    <cellStyle name="Normal 2 2 2 36 23" xfId="7099"/>
    <cellStyle name="Normal 2 2 2 36 3" xfId="7100"/>
    <cellStyle name="Normal 2 2 2 36 4" xfId="7101"/>
    <cellStyle name="Normal 2 2 2 36 5" xfId="7102"/>
    <cellStyle name="Normal 2 2 2 36 6" xfId="7103"/>
    <cellStyle name="Normal 2 2 2 36 7" xfId="7104"/>
    <cellStyle name="Normal 2 2 2 36 8" xfId="7105"/>
    <cellStyle name="Normal 2 2 2 36 9" xfId="7106"/>
    <cellStyle name="Normal 2 2 2 37" xfId="7107"/>
    <cellStyle name="Normal 2 2 2 37 10" xfId="7108"/>
    <cellStyle name="Normal 2 2 2 37 11" xfId="7109"/>
    <cellStyle name="Normal 2 2 2 37 12" xfId="7110"/>
    <cellStyle name="Normal 2 2 2 37 13" xfId="7111"/>
    <cellStyle name="Normal 2 2 2 37 14" xfId="7112"/>
    <cellStyle name="Normal 2 2 2 37 15" xfId="7113"/>
    <cellStyle name="Normal 2 2 2 37 16" xfId="7114"/>
    <cellStyle name="Normal 2 2 2 37 17" xfId="7115"/>
    <cellStyle name="Normal 2 2 2 37 18" xfId="7116"/>
    <cellStyle name="Normal 2 2 2 37 19" xfId="7117"/>
    <cellStyle name="Normal 2 2 2 37 2" xfId="7118"/>
    <cellStyle name="Normal 2 2 2 37 20" xfId="7119"/>
    <cellStyle name="Normal 2 2 2 37 21" xfId="7120"/>
    <cellStyle name="Normal 2 2 2 37 22" xfId="7121"/>
    <cellStyle name="Normal 2 2 2 37 23" xfId="7122"/>
    <cellStyle name="Normal 2 2 2 37 3" xfId="7123"/>
    <cellStyle name="Normal 2 2 2 37 4" xfId="7124"/>
    <cellStyle name="Normal 2 2 2 37 5" xfId="7125"/>
    <cellStyle name="Normal 2 2 2 37 6" xfId="7126"/>
    <cellStyle name="Normal 2 2 2 37 7" xfId="7127"/>
    <cellStyle name="Normal 2 2 2 37 8" xfId="7128"/>
    <cellStyle name="Normal 2 2 2 37 9" xfId="7129"/>
    <cellStyle name="Normal 2 2 2 38" xfId="7130"/>
    <cellStyle name="Normal 2 2 2 38 10" xfId="7131"/>
    <cellStyle name="Normal 2 2 2 38 11" xfId="7132"/>
    <cellStyle name="Normal 2 2 2 38 12" xfId="7133"/>
    <cellStyle name="Normal 2 2 2 38 13" xfId="7134"/>
    <cellStyle name="Normal 2 2 2 38 14" xfId="7135"/>
    <cellStyle name="Normal 2 2 2 38 15" xfId="7136"/>
    <cellStyle name="Normal 2 2 2 38 16" xfId="7137"/>
    <cellStyle name="Normal 2 2 2 38 17" xfId="7138"/>
    <cellStyle name="Normal 2 2 2 38 18" xfId="7139"/>
    <cellStyle name="Normal 2 2 2 38 19" xfId="7140"/>
    <cellStyle name="Normal 2 2 2 38 2" xfId="7141"/>
    <cellStyle name="Normal 2 2 2 38 20" xfId="7142"/>
    <cellStyle name="Normal 2 2 2 38 21" xfId="7143"/>
    <cellStyle name="Normal 2 2 2 38 22" xfId="7144"/>
    <cellStyle name="Normal 2 2 2 38 23" xfId="7145"/>
    <cellStyle name="Normal 2 2 2 38 3" xfId="7146"/>
    <cellStyle name="Normal 2 2 2 38 4" xfId="7147"/>
    <cellStyle name="Normal 2 2 2 38 5" xfId="7148"/>
    <cellStyle name="Normal 2 2 2 38 6" xfId="7149"/>
    <cellStyle name="Normal 2 2 2 38 7" xfId="7150"/>
    <cellStyle name="Normal 2 2 2 38 8" xfId="7151"/>
    <cellStyle name="Normal 2 2 2 38 9" xfId="7152"/>
    <cellStyle name="Normal 2 2 2 39" xfId="7153"/>
    <cellStyle name="Normal 2 2 2 39 10" xfId="7154"/>
    <cellStyle name="Normal 2 2 2 39 11" xfId="7155"/>
    <cellStyle name="Normal 2 2 2 39 12" xfId="7156"/>
    <cellStyle name="Normal 2 2 2 39 13" xfId="7157"/>
    <cellStyle name="Normal 2 2 2 39 14" xfId="7158"/>
    <cellStyle name="Normal 2 2 2 39 15" xfId="7159"/>
    <cellStyle name="Normal 2 2 2 39 16" xfId="7160"/>
    <cellStyle name="Normal 2 2 2 39 17" xfId="7161"/>
    <cellStyle name="Normal 2 2 2 39 18" xfId="7162"/>
    <cellStyle name="Normal 2 2 2 39 19" xfId="7163"/>
    <cellStyle name="Normal 2 2 2 39 2" xfId="7164"/>
    <cellStyle name="Normal 2 2 2 39 20" xfId="7165"/>
    <cellStyle name="Normal 2 2 2 39 21" xfId="7166"/>
    <cellStyle name="Normal 2 2 2 39 22" xfId="7167"/>
    <cellStyle name="Normal 2 2 2 39 23" xfId="7168"/>
    <cellStyle name="Normal 2 2 2 39 3" xfId="7169"/>
    <cellStyle name="Normal 2 2 2 39 4" xfId="7170"/>
    <cellStyle name="Normal 2 2 2 39 5" xfId="7171"/>
    <cellStyle name="Normal 2 2 2 39 6" xfId="7172"/>
    <cellStyle name="Normal 2 2 2 39 7" xfId="7173"/>
    <cellStyle name="Normal 2 2 2 39 8" xfId="7174"/>
    <cellStyle name="Normal 2 2 2 39 9" xfId="7175"/>
    <cellStyle name="Normal 2 2 2 4" xfId="7176"/>
    <cellStyle name="Normal 2 2 2 4 10" xfId="7177"/>
    <cellStyle name="Normal 2 2 2 4 11" xfId="7178"/>
    <cellStyle name="Normal 2 2 2 4 12" xfId="7179"/>
    <cellStyle name="Normal 2 2 2 4 13" xfId="7180"/>
    <cellStyle name="Normal 2 2 2 4 14" xfId="7181"/>
    <cellStyle name="Normal 2 2 2 4 15" xfId="7182"/>
    <cellStyle name="Normal 2 2 2 4 16" xfId="7183"/>
    <cellStyle name="Normal 2 2 2 4 17" xfId="7184"/>
    <cellStyle name="Normal 2 2 2 4 18" xfId="7185"/>
    <cellStyle name="Normal 2 2 2 4 19" xfId="7186"/>
    <cellStyle name="Normal 2 2 2 4 2" xfId="7187"/>
    <cellStyle name="Normal 2 2 2 4 2 10" xfId="7188"/>
    <cellStyle name="Normal 2 2 2 4 2 11" xfId="7189"/>
    <cellStyle name="Normal 2 2 2 4 2 12" xfId="7190"/>
    <cellStyle name="Normal 2 2 2 4 2 13" xfId="7191"/>
    <cellStyle name="Normal 2 2 2 4 2 14" xfId="7192"/>
    <cellStyle name="Normal 2 2 2 4 2 15" xfId="7193"/>
    <cellStyle name="Normal 2 2 2 4 2 16" xfId="7194"/>
    <cellStyle name="Normal 2 2 2 4 2 17" xfId="7195"/>
    <cellStyle name="Normal 2 2 2 4 2 18" xfId="7196"/>
    <cellStyle name="Normal 2 2 2 4 2 19" xfId="7197"/>
    <cellStyle name="Normal 2 2 2 4 2 2" xfId="7198"/>
    <cellStyle name="Normal 2 2 2 4 2 20" xfId="7199"/>
    <cellStyle name="Normal 2 2 2 4 2 21" xfId="7200"/>
    <cellStyle name="Normal 2 2 2 4 2 22" xfId="7201"/>
    <cellStyle name="Normal 2 2 2 4 2 23" xfId="7202"/>
    <cellStyle name="Normal 2 2 2 4 2 24" xfId="7203"/>
    <cellStyle name="Normal 2 2 2 4 2 25" xfId="7204"/>
    <cellStyle name="Normal 2 2 2 4 2 26" xfId="7205"/>
    <cellStyle name="Normal 2 2 2 4 2 27" xfId="7206"/>
    <cellStyle name="Normal 2 2 2 4 2 28" xfId="7207"/>
    <cellStyle name="Normal 2 2 2 4 2 29" xfId="7208"/>
    <cellStyle name="Normal 2 2 2 4 2 3" xfId="7209"/>
    <cellStyle name="Normal 2 2 2 4 2 30" xfId="7210"/>
    <cellStyle name="Normal 2 2 2 4 2 31" xfId="7211"/>
    <cellStyle name="Normal 2 2 2 4 2 32" xfId="7212"/>
    <cellStyle name="Normal 2 2 2 4 2 33" xfId="7213"/>
    <cellStyle name="Normal 2 2 2 4 2 4" xfId="7214"/>
    <cellStyle name="Normal 2 2 2 4 2 5" xfId="7215"/>
    <cellStyle name="Normal 2 2 2 4 2 6" xfId="7216"/>
    <cellStyle name="Normal 2 2 2 4 2 7" xfId="7217"/>
    <cellStyle name="Normal 2 2 2 4 2 8" xfId="7218"/>
    <cellStyle name="Normal 2 2 2 4 2 9" xfId="7219"/>
    <cellStyle name="Normal 2 2 2 4 20" xfId="7220"/>
    <cellStyle name="Normal 2 2 2 4 21" xfId="7221"/>
    <cellStyle name="Normal 2 2 2 4 22" xfId="7222"/>
    <cellStyle name="Normal 2 2 2 4 23" xfId="7223"/>
    <cellStyle name="Normal 2 2 2 4 24" xfId="7224"/>
    <cellStyle name="Normal 2 2 2 4 25" xfId="7225"/>
    <cellStyle name="Normal 2 2 2 4 26" xfId="7226"/>
    <cellStyle name="Normal 2 2 2 4 27" xfId="7227"/>
    <cellStyle name="Normal 2 2 2 4 28" xfId="7228"/>
    <cellStyle name="Normal 2 2 2 4 29" xfId="7229"/>
    <cellStyle name="Normal 2 2 2 4 3" xfId="7230"/>
    <cellStyle name="Normal 2 2 2 4 30" xfId="7231"/>
    <cellStyle name="Normal 2 2 2 4 31" xfId="7232"/>
    <cellStyle name="Normal 2 2 2 4 4" xfId="7233"/>
    <cellStyle name="Normal 2 2 2 4 5" xfId="7234"/>
    <cellStyle name="Normal 2 2 2 4 6" xfId="7235"/>
    <cellStyle name="Normal 2 2 2 4 7" xfId="7236"/>
    <cellStyle name="Normal 2 2 2 4 8" xfId="7237"/>
    <cellStyle name="Normal 2 2 2 4 9" xfId="7238"/>
    <cellStyle name="Normal 2 2 2 40" xfId="7239"/>
    <cellStyle name="Normal 2 2 2 40 10" xfId="7240"/>
    <cellStyle name="Normal 2 2 2 40 11" xfId="7241"/>
    <cellStyle name="Normal 2 2 2 40 12" xfId="7242"/>
    <cellStyle name="Normal 2 2 2 40 13" xfId="7243"/>
    <cellStyle name="Normal 2 2 2 40 14" xfId="7244"/>
    <cellStyle name="Normal 2 2 2 40 15" xfId="7245"/>
    <cellStyle name="Normal 2 2 2 40 16" xfId="7246"/>
    <cellStyle name="Normal 2 2 2 40 17" xfId="7247"/>
    <cellStyle name="Normal 2 2 2 40 18" xfId="7248"/>
    <cellStyle name="Normal 2 2 2 40 19" xfId="7249"/>
    <cellStyle name="Normal 2 2 2 40 2" xfId="7250"/>
    <cellStyle name="Normal 2 2 2 40 20" xfId="7251"/>
    <cellStyle name="Normal 2 2 2 40 21" xfId="7252"/>
    <cellStyle name="Normal 2 2 2 40 22" xfId="7253"/>
    <cellStyle name="Normal 2 2 2 40 23" xfId="7254"/>
    <cellStyle name="Normal 2 2 2 40 3" xfId="7255"/>
    <cellStyle name="Normal 2 2 2 40 4" xfId="7256"/>
    <cellStyle name="Normal 2 2 2 40 5" xfId="7257"/>
    <cellStyle name="Normal 2 2 2 40 6" xfId="7258"/>
    <cellStyle name="Normal 2 2 2 40 7" xfId="7259"/>
    <cellStyle name="Normal 2 2 2 40 8" xfId="7260"/>
    <cellStyle name="Normal 2 2 2 40 9" xfId="7261"/>
    <cellStyle name="Normal 2 2 2 41" xfId="7262"/>
    <cellStyle name="Normal 2 2 2 41 10" xfId="7263"/>
    <cellStyle name="Normal 2 2 2 41 11" xfId="7264"/>
    <cellStyle name="Normal 2 2 2 41 12" xfId="7265"/>
    <cellStyle name="Normal 2 2 2 41 13" xfId="7266"/>
    <cellStyle name="Normal 2 2 2 41 14" xfId="7267"/>
    <cellStyle name="Normal 2 2 2 41 15" xfId="7268"/>
    <cellStyle name="Normal 2 2 2 41 16" xfId="7269"/>
    <cellStyle name="Normal 2 2 2 41 17" xfId="7270"/>
    <cellStyle name="Normal 2 2 2 41 18" xfId="7271"/>
    <cellStyle name="Normal 2 2 2 41 19" xfId="7272"/>
    <cellStyle name="Normal 2 2 2 41 2" xfId="7273"/>
    <cellStyle name="Normal 2 2 2 41 20" xfId="7274"/>
    <cellStyle name="Normal 2 2 2 41 21" xfId="7275"/>
    <cellStyle name="Normal 2 2 2 41 22" xfId="7276"/>
    <cellStyle name="Normal 2 2 2 41 23" xfId="7277"/>
    <cellStyle name="Normal 2 2 2 41 3" xfId="7278"/>
    <cellStyle name="Normal 2 2 2 41 4" xfId="7279"/>
    <cellStyle name="Normal 2 2 2 41 5" xfId="7280"/>
    <cellStyle name="Normal 2 2 2 41 6" xfId="7281"/>
    <cellStyle name="Normal 2 2 2 41 7" xfId="7282"/>
    <cellStyle name="Normal 2 2 2 41 8" xfId="7283"/>
    <cellStyle name="Normal 2 2 2 41 9" xfId="7284"/>
    <cellStyle name="Normal 2 2 2 42" xfId="7285"/>
    <cellStyle name="Normal 2 2 2 42 10" xfId="7286"/>
    <cellStyle name="Normal 2 2 2 42 11" xfId="7287"/>
    <cellStyle name="Normal 2 2 2 42 12" xfId="7288"/>
    <cellStyle name="Normal 2 2 2 42 13" xfId="7289"/>
    <cellStyle name="Normal 2 2 2 42 14" xfId="7290"/>
    <cellStyle name="Normal 2 2 2 42 15" xfId="7291"/>
    <cellStyle name="Normal 2 2 2 42 16" xfId="7292"/>
    <cellStyle name="Normal 2 2 2 42 17" xfId="7293"/>
    <cellStyle name="Normal 2 2 2 42 18" xfId="7294"/>
    <cellStyle name="Normal 2 2 2 42 19" xfId="7295"/>
    <cellStyle name="Normal 2 2 2 42 2" xfId="7296"/>
    <cellStyle name="Normal 2 2 2 42 20" xfId="7297"/>
    <cellStyle name="Normal 2 2 2 42 21" xfId="7298"/>
    <cellStyle name="Normal 2 2 2 42 22" xfId="7299"/>
    <cellStyle name="Normal 2 2 2 42 23" xfId="7300"/>
    <cellStyle name="Normal 2 2 2 42 3" xfId="7301"/>
    <cellStyle name="Normal 2 2 2 42 4" xfId="7302"/>
    <cellStyle name="Normal 2 2 2 42 5" xfId="7303"/>
    <cellStyle name="Normal 2 2 2 42 6" xfId="7304"/>
    <cellStyle name="Normal 2 2 2 42 7" xfId="7305"/>
    <cellStyle name="Normal 2 2 2 42 8" xfId="7306"/>
    <cellStyle name="Normal 2 2 2 42 9" xfId="7307"/>
    <cellStyle name="Normal 2 2 2 43" xfId="7308"/>
    <cellStyle name="Normal 2 2 2 43 2" xfId="7309"/>
    <cellStyle name="Normal 2 2 2 44" xfId="7310"/>
    <cellStyle name="Normal 2 2 2 44 2" xfId="7311"/>
    <cellStyle name="Normal 2 2 2 45" xfId="7312"/>
    <cellStyle name="Normal 2 2 2 45 2" xfId="7313"/>
    <cellStyle name="Normal 2 2 2 46" xfId="7314"/>
    <cellStyle name="Normal 2 2 2 46 2" xfId="7315"/>
    <cellStyle name="Normal 2 2 2 47" xfId="7316"/>
    <cellStyle name="Normal 2 2 2 47 2" xfId="7317"/>
    <cellStyle name="Normal 2 2 2 48" xfId="7318"/>
    <cellStyle name="Normal 2 2 2 48 2" xfId="7319"/>
    <cellStyle name="Normal 2 2 2 49" xfId="7320"/>
    <cellStyle name="Normal 2 2 2 49 2" xfId="7321"/>
    <cellStyle name="Normal 2 2 2 5" xfId="7322"/>
    <cellStyle name="Normal 2 2 2 5 10" xfId="7323"/>
    <cellStyle name="Normal 2 2 2 5 11" xfId="7324"/>
    <cellStyle name="Normal 2 2 2 5 12" xfId="7325"/>
    <cellStyle name="Normal 2 2 2 5 13" xfId="7326"/>
    <cellStyle name="Normal 2 2 2 5 14" xfId="7327"/>
    <cellStyle name="Normal 2 2 2 5 15" xfId="7328"/>
    <cellStyle name="Normal 2 2 2 5 16" xfId="7329"/>
    <cellStyle name="Normal 2 2 2 5 17" xfId="7330"/>
    <cellStyle name="Normal 2 2 2 5 18" xfId="7331"/>
    <cellStyle name="Normal 2 2 2 5 19" xfId="7332"/>
    <cellStyle name="Normal 2 2 2 5 2" xfId="7333"/>
    <cellStyle name="Normal 2 2 2 5 2 10" xfId="7334"/>
    <cellStyle name="Normal 2 2 2 5 2 11" xfId="7335"/>
    <cellStyle name="Normal 2 2 2 5 2 12" xfId="7336"/>
    <cellStyle name="Normal 2 2 2 5 2 13" xfId="7337"/>
    <cellStyle name="Normal 2 2 2 5 2 14" xfId="7338"/>
    <cellStyle name="Normal 2 2 2 5 2 15" xfId="7339"/>
    <cellStyle name="Normal 2 2 2 5 2 16" xfId="7340"/>
    <cellStyle name="Normal 2 2 2 5 2 17" xfId="7341"/>
    <cellStyle name="Normal 2 2 2 5 2 18" xfId="7342"/>
    <cellStyle name="Normal 2 2 2 5 2 19" xfId="7343"/>
    <cellStyle name="Normal 2 2 2 5 2 2" xfId="7344"/>
    <cellStyle name="Normal 2 2 2 5 2 20" xfId="7345"/>
    <cellStyle name="Normal 2 2 2 5 2 21" xfId="7346"/>
    <cellStyle name="Normal 2 2 2 5 2 22" xfId="7347"/>
    <cellStyle name="Normal 2 2 2 5 2 23" xfId="7348"/>
    <cellStyle name="Normal 2 2 2 5 2 24" xfId="7349"/>
    <cellStyle name="Normal 2 2 2 5 2 25" xfId="7350"/>
    <cellStyle name="Normal 2 2 2 5 2 26" xfId="7351"/>
    <cellStyle name="Normal 2 2 2 5 2 27" xfId="7352"/>
    <cellStyle name="Normal 2 2 2 5 2 28" xfId="7353"/>
    <cellStyle name="Normal 2 2 2 5 2 29" xfId="7354"/>
    <cellStyle name="Normal 2 2 2 5 2 3" xfId="7355"/>
    <cellStyle name="Normal 2 2 2 5 2 30" xfId="7356"/>
    <cellStyle name="Normal 2 2 2 5 2 31" xfId="7357"/>
    <cellStyle name="Normal 2 2 2 5 2 32" xfId="7358"/>
    <cellStyle name="Normal 2 2 2 5 2 33" xfId="7359"/>
    <cellStyle name="Normal 2 2 2 5 2 4" xfId="7360"/>
    <cellStyle name="Normal 2 2 2 5 2 5" xfId="7361"/>
    <cellStyle name="Normal 2 2 2 5 2 6" xfId="7362"/>
    <cellStyle name="Normal 2 2 2 5 2 7" xfId="7363"/>
    <cellStyle name="Normal 2 2 2 5 2 8" xfId="7364"/>
    <cellStyle name="Normal 2 2 2 5 2 9" xfId="7365"/>
    <cellStyle name="Normal 2 2 2 5 20" xfId="7366"/>
    <cellStyle name="Normal 2 2 2 5 21" xfId="7367"/>
    <cellStyle name="Normal 2 2 2 5 22" xfId="7368"/>
    <cellStyle name="Normal 2 2 2 5 23" xfId="7369"/>
    <cellStyle name="Normal 2 2 2 5 24" xfId="7370"/>
    <cellStyle name="Normal 2 2 2 5 25" xfId="7371"/>
    <cellStyle name="Normal 2 2 2 5 26" xfId="7372"/>
    <cellStyle name="Normal 2 2 2 5 27" xfId="7373"/>
    <cellStyle name="Normal 2 2 2 5 28" xfId="7374"/>
    <cellStyle name="Normal 2 2 2 5 29" xfId="7375"/>
    <cellStyle name="Normal 2 2 2 5 3" xfId="7376"/>
    <cellStyle name="Normal 2 2 2 5 30" xfId="7377"/>
    <cellStyle name="Normal 2 2 2 5 31" xfId="7378"/>
    <cellStyle name="Normal 2 2 2 5 4" xfId="7379"/>
    <cellStyle name="Normal 2 2 2 5 5" xfId="7380"/>
    <cellStyle name="Normal 2 2 2 5 6" xfId="7381"/>
    <cellStyle name="Normal 2 2 2 5 7" xfId="7382"/>
    <cellStyle name="Normal 2 2 2 5 8" xfId="7383"/>
    <cellStyle name="Normal 2 2 2 5 9" xfId="7384"/>
    <cellStyle name="Normal 2 2 2 50" xfId="7385"/>
    <cellStyle name="Normal 2 2 2 50 2" xfId="7386"/>
    <cellStyle name="Normal 2 2 2 51" xfId="7387"/>
    <cellStyle name="Normal 2 2 2 51 2" xfId="7388"/>
    <cellStyle name="Normal 2 2 2 52" xfId="7389"/>
    <cellStyle name="Normal 2 2 2 52 2" xfId="7390"/>
    <cellStyle name="Normal 2 2 2 53" xfId="7391"/>
    <cellStyle name="Normal 2 2 2 53 2" xfId="7392"/>
    <cellStyle name="Normal 2 2 2 54" xfId="7393"/>
    <cellStyle name="Normal 2 2 2 54 2" xfId="7394"/>
    <cellStyle name="Normal 2 2 2 55" xfId="7395"/>
    <cellStyle name="Normal 2 2 2 55 2" xfId="7396"/>
    <cellStyle name="Normal 2 2 2 56" xfId="7397"/>
    <cellStyle name="Normal 2 2 2 56 2" xfId="7398"/>
    <cellStyle name="Normal 2 2 2 57" xfId="7399"/>
    <cellStyle name="Normal 2 2 2 57 2" xfId="7400"/>
    <cellStyle name="Normal 2 2 2 58" xfId="7401"/>
    <cellStyle name="Normal 2 2 2 59" xfId="7402"/>
    <cellStyle name="Normal 2 2 2 6" xfId="7403"/>
    <cellStyle name="Normal 2 2 2 6 10" xfId="7404"/>
    <cellStyle name="Normal 2 2 2 6 11" xfId="7405"/>
    <cellStyle name="Normal 2 2 2 6 12" xfId="7406"/>
    <cellStyle name="Normal 2 2 2 6 13" xfId="7407"/>
    <cellStyle name="Normal 2 2 2 6 14" xfId="7408"/>
    <cellStyle name="Normal 2 2 2 6 15" xfId="7409"/>
    <cellStyle name="Normal 2 2 2 6 16" xfId="7410"/>
    <cellStyle name="Normal 2 2 2 6 17" xfId="7411"/>
    <cellStyle name="Normal 2 2 2 6 18" xfId="7412"/>
    <cellStyle name="Normal 2 2 2 6 19" xfId="7413"/>
    <cellStyle name="Normal 2 2 2 6 2" xfId="7414"/>
    <cellStyle name="Normal 2 2 2 6 20" xfId="7415"/>
    <cellStyle name="Normal 2 2 2 6 21" xfId="7416"/>
    <cellStyle name="Normal 2 2 2 6 22" xfId="7417"/>
    <cellStyle name="Normal 2 2 2 6 23" xfId="7418"/>
    <cellStyle name="Normal 2 2 2 6 24" xfId="7419"/>
    <cellStyle name="Normal 2 2 2 6 25" xfId="7420"/>
    <cellStyle name="Normal 2 2 2 6 26" xfId="7421"/>
    <cellStyle name="Normal 2 2 2 6 27" xfId="7422"/>
    <cellStyle name="Normal 2 2 2 6 28" xfId="7423"/>
    <cellStyle name="Normal 2 2 2 6 29" xfId="7424"/>
    <cellStyle name="Normal 2 2 2 6 3" xfId="7425"/>
    <cellStyle name="Normal 2 2 2 6 30" xfId="7426"/>
    <cellStyle name="Normal 2 2 2 6 31" xfId="7427"/>
    <cellStyle name="Normal 2 2 2 6 32" xfId="7428"/>
    <cellStyle name="Normal 2 2 2 6 4" xfId="7429"/>
    <cellStyle name="Normal 2 2 2 6 5" xfId="7430"/>
    <cellStyle name="Normal 2 2 2 6 6" xfId="7431"/>
    <cellStyle name="Normal 2 2 2 6 7" xfId="7432"/>
    <cellStyle name="Normal 2 2 2 6 8" xfId="7433"/>
    <cellStyle name="Normal 2 2 2 6 9" xfId="7434"/>
    <cellStyle name="Normal 2 2 2 60" xfId="7435"/>
    <cellStyle name="Normal 2 2 2 61" xfId="7436"/>
    <cellStyle name="Normal 2 2 2 62" xfId="7437"/>
    <cellStyle name="Normal 2 2 2 63" xfId="7438"/>
    <cellStyle name="Normal 2 2 2 64" xfId="7439"/>
    <cellStyle name="Normal 2 2 2 65" xfId="18351"/>
    <cellStyle name="Normal 2 2 2 7" xfId="7440"/>
    <cellStyle name="Normal 2 2 2 8" xfId="7441"/>
    <cellStyle name="Normal 2 2 2 9" xfId="7442"/>
    <cellStyle name="Normal 2 2 20" xfId="7443"/>
    <cellStyle name="Normal 2 2 21" xfId="7444"/>
    <cellStyle name="Normal 2 2 22" xfId="7445"/>
    <cellStyle name="Normal 2 2 23" xfId="7446"/>
    <cellStyle name="Normal 2 2 24" xfId="7447"/>
    <cellStyle name="Normal 2 2 25" xfId="7448"/>
    <cellStyle name="Normal 2 2 26" xfId="7449"/>
    <cellStyle name="Normal 2 2 27" xfId="7450"/>
    <cellStyle name="Normal 2 2 28" xfId="7451"/>
    <cellStyle name="Normal 2 2 29" xfId="7452"/>
    <cellStyle name="Normal 2 2 3" xfId="7453"/>
    <cellStyle name="Normal 2 2 3 10" xfId="7454"/>
    <cellStyle name="Normal 2 2 3 11" xfId="7455"/>
    <cellStyle name="Normal 2 2 3 12" xfId="7456"/>
    <cellStyle name="Normal 2 2 3 13" xfId="7457"/>
    <cellStyle name="Normal 2 2 3 14" xfId="7458"/>
    <cellStyle name="Normal 2 2 3 15" xfId="7459"/>
    <cellStyle name="Normal 2 2 3 16" xfId="7460"/>
    <cellStyle name="Normal 2 2 3 17" xfId="7461"/>
    <cellStyle name="Normal 2 2 3 18" xfId="7462"/>
    <cellStyle name="Normal 2 2 3 19" xfId="7463"/>
    <cellStyle name="Normal 2 2 3 2" xfId="7464"/>
    <cellStyle name="Normal 2 2 3 2 10" xfId="7465"/>
    <cellStyle name="Normal 2 2 3 2 10 2" xfId="7466"/>
    <cellStyle name="Normal 2 2 3 2 11" xfId="7467"/>
    <cellStyle name="Normal 2 2 3 2 11 2" xfId="7468"/>
    <cellStyle name="Normal 2 2 3 2 12" xfId="7469"/>
    <cellStyle name="Normal 2 2 3 2 12 2" xfId="7470"/>
    <cellStyle name="Normal 2 2 3 2 13" xfId="7471"/>
    <cellStyle name="Normal 2 2 3 2 13 2" xfId="7472"/>
    <cellStyle name="Normal 2 2 3 2 14" xfId="7473"/>
    <cellStyle name="Normal 2 2 3 2 14 2" xfId="7474"/>
    <cellStyle name="Normal 2 2 3 2 15" xfId="7475"/>
    <cellStyle name="Normal 2 2 3 2 15 2" xfId="7476"/>
    <cellStyle name="Normal 2 2 3 2 16" xfId="7477"/>
    <cellStyle name="Normal 2 2 3 2 16 2" xfId="7478"/>
    <cellStyle name="Normal 2 2 3 2 17" xfId="7479"/>
    <cellStyle name="Normal 2 2 3 2 17 2" xfId="7480"/>
    <cellStyle name="Normal 2 2 3 2 18" xfId="7481"/>
    <cellStyle name="Normal 2 2 3 2 18 2" xfId="7482"/>
    <cellStyle name="Normal 2 2 3 2 19" xfId="7483"/>
    <cellStyle name="Normal 2 2 3 2 19 2" xfId="7484"/>
    <cellStyle name="Normal 2 2 3 2 2" xfId="7485"/>
    <cellStyle name="Normal 2 2 3 2 2 10" xfId="7486"/>
    <cellStyle name="Normal 2 2 3 2 2 11" xfId="7487"/>
    <cellStyle name="Normal 2 2 3 2 2 12" xfId="7488"/>
    <cellStyle name="Normal 2 2 3 2 2 13" xfId="7489"/>
    <cellStyle name="Normal 2 2 3 2 2 14" xfId="7490"/>
    <cellStyle name="Normal 2 2 3 2 2 15" xfId="7491"/>
    <cellStyle name="Normal 2 2 3 2 2 16" xfId="7492"/>
    <cellStyle name="Normal 2 2 3 2 2 17" xfId="7493"/>
    <cellStyle name="Normal 2 2 3 2 2 18" xfId="7494"/>
    <cellStyle name="Normal 2 2 3 2 2 19" xfId="7495"/>
    <cellStyle name="Normal 2 2 3 2 2 2" xfId="7496"/>
    <cellStyle name="Normal 2 2 3 2 2 2 10" xfId="7497"/>
    <cellStyle name="Normal 2 2 3 2 2 2 10 2" xfId="7498"/>
    <cellStyle name="Normal 2 2 3 2 2 2 11" xfId="7499"/>
    <cellStyle name="Normal 2 2 3 2 2 2 11 2" xfId="7500"/>
    <cellStyle name="Normal 2 2 3 2 2 2 12" xfId="7501"/>
    <cellStyle name="Normal 2 2 3 2 2 2 12 2" xfId="7502"/>
    <cellStyle name="Normal 2 2 3 2 2 2 13" xfId="7503"/>
    <cellStyle name="Normal 2 2 3 2 2 2 13 2" xfId="7504"/>
    <cellStyle name="Normal 2 2 3 2 2 2 14" xfId="7505"/>
    <cellStyle name="Normal 2 2 3 2 2 2 14 2" xfId="7506"/>
    <cellStyle name="Normal 2 2 3 2 2 2 15" xfId="7507"/>
    <cellStyle name="Normal 2 2 3 2 2 2 15 2" xfId="7508"/>
    <cellStyle name="Normal 2 2 3 2 2 2 16" xfId="7509"/>
    <cellStyle name="Normal 2 2 3 2 2 2 16 2" xfId="7510"/>
    <cellStyle name="Normal 2 2 3 2 2 2 17" xfId="7511"/>
    <cellStyle name="Normal 2 2 3 2 2 2 17 2" xfId="7512"/>
    <cellStyle name="Normal 2 2 3 2 2 2 18" xfId="7513"/>
    <cellStyle name="Normal 2 2 3 2 2 2 18 2" xfId="7514"/>
    <cellStyle name="Normal 2 2 3 2 2 2 19" xfId="7515"/>
    <cellStyle name="Normal 2 2 3 2 2 2 19 2" xfId="7516"/>
    <cellStyle name="Normal 2 2 3 2 2 2 2" xfId="7517"/>
    <cellStyle name="Normal 2 2 3 2 2 2 2 2" xfId="7518"/>
    <cellStyle name="Normal 2 2 3 2 2 2 20" xfId="7519"/>
    <cellStyle name="Normal 2 2 3 2 2 2 20 2" xfId="7520"/>
    <cellStyle name="Normal 2 2 3 2 2 2 21" xfId="7521"/>
    <cellStyle name="Normal 2 2 3 2 2 2 21 2" xfId="7522"/>
    <cellStyle name="Normal 2 2 3 2 2 2 22" xfId="7523"/>
    <cellStyle name="Normal 2 2 3 2 2 2 22 2" xfId="7524"/>
    <cellStyle name="Normal 2 2 3 2 2 2 23" xfId="7525"/>
    <cellStyle name="Normal 2 2 3 2 2 2 23 2" xfId="7526"/>
    <cellStyle name="Normal 2 2 3 2 2 2 24" xfId="7527"/>
    <cellStyle name="Normal 2 2 3 2 2 2 3" xfId="7528"/>
    <cellStyle name="Normal 2 2 3 2 2 2 3 2" xfId="7529"/>
    <cellStyle name="Normal 2 2 3 2 2 2 4" xfId="7530"/>
    <cellStyle name="Normal 2 2 3 2 2 2 4 2" xfId="7531"/>
    <cellStyle name="Normal 2 2 3 2 2 2 5" xfId="7532"/>
    <cellStyle name="Normal 2 2 3 2 2 2 5 2" xfId="7533"/>
    <cellStyle name="Normal 2 2 3 2 2 2 6" xfId="7534"/>
    <cellStyle name="Normal 2 2 3 2 2 2 6 2" xfId="7535"/>
    <cellStyle name="Normal 2 2 3 2 2 2 7" xfId="7536"/>
    <cellStyle name="Normal 2 2 3 2 2 2 7 2" xfId="7537"/>
    <cellStyle name="Normal 2 2 3 2 2 2 8" xfId="7538"/>
    <cellStyle name="Normal 2 2 3 2 2 2 8 2" xfId="7539"/>
    <cellStyle name="Normal 2 2 3 2 2 2 9" xfId="7540"/>
    <cellStyle name="Normal 2 2 3 2 2 2 9 2" xfId="7541"/>
    <cellStyle name="Normal 2 2 3 2 2 20" xfId="7542"/>
    <cellStyle name="Normal 2 2 3 2 2 21" xfId="7543"/>
    <cellStyle name="Normal 2 2 3 2 2 22" xfId="7544"/>
    <cellStyle name="Normal 2 2 3 2 2 23" xfId="7545"/>
    <cellStyle name="Normal 2 2 3 2 2 24" xfId="7546"/>
    <cellStyle name="Normal 2 2 3 2 2 3" xfId="7547"/>
    <cellStyle name="Normal 2 2 3 2 2 4" xfId="7548"/>
    <cellStyle name="Normal 2 2 3 2 2 5" xfId="7549"/>
    <cellStyle name="Normal 2 2 3 2 2 6" xfId="7550"/>
    <cellStyle name="Normal 2 2 3 2 2 7" xfId="7551"/>
    <cellStyle name="Normal 2 2 3 2 2 8" xfId="7552"/>
    <cellStyle name="Normal 2 2 3 2 2 9" xfId="7553"/>
    <cellStyle name="Normal 2 2 3 2 20" xfId="7554"/>
    <cellStyle name="Normal 2 2 3 2 20 2" xfId="7555"/>
    <cellStyle name="Normal 2 2 3 2 21" xfId="7556"/>
    <cellStyle name="Normal 2 2 3 2 21 2" xfId="7557"/>
    <cellStyle name="Normal 2 2 3 2 22" xfId="7558"/>
    <cellStyle name="Normal 2 2 3 2 22 2" xfId="7559"/>
    <cellStyle name="Normal 2 2 3 2 23" xfId="7560"/>
    <cellStyle name="Normal 2 2 3 2 23 2" xfId="7561"/>
    <cellStyle name="Normal 2 2 3 2 24" xfId="7562"/>
    <cellStyle name="Normal 2 2 3 2 24 2" xfId="7563"/>
    <cellStyle name="Normal 2 2 3 2 25" xfId="7564"/>
    <cellStyle name="Normal 2 2 3 2 25 2" xfId="7565"/>
    <cellStyle name="Normal 2 2 3 2 26" xfId="7566"/>
    <cellStyle name="Normal 2 2 3 2 26 2" xfId="7567"/>
    <cellStyle name="Normal 2 2 3 2 27" xfId="7568"/>
    <cellStyle name="Normal 2 2 3 2 27 2" xfId="7569"/>
    <cellStyle name="Normal 2 2 3 2 28" xfId="7570"/>
    <cellStyle name="Normal 2 2 3 2 28 2" xfId="7571"/>
    <cellStyle name="Normal 2 2 3 2 29" xfId="7572"/>
    <cellStyle name="Normal 2 2 3 2 29 2" xfId="7573"/>
    <cellStyle name="Normal 2 2 3 2 3" xfId="7574"/>
    <cellStyle name="Normal 2 2 3 2 3 2" xfId="7575"/>
    <cellStyle name="Normal 2 2 3 2 30" xfId="7576"/>
    <cellStyle name="Normal 2 2 3 2 30 2" xfId="7577"/>
    <cellStyle name="Normal 2 2 3 2 31" xfId="7578"/>
    <cellStyle name="Normal 2 2 3 2 31 2" xfId="7579"/>
    <cellStyle name="Normal 2 2 3 2 4" xfId="7580"/>
    <cellStyle name="Normal 2 2 3 2 4 2" xfId="7581"/>
    <cellStyle name="Normal 2 2 3 2 5" xfId="7582"/>
    <cellStyle name="Normal 2 2 3 2 5 2" xfId="7583"/>
    <cellStyle name="Normal 2 2 3 2 6" xfId="7584"/>
    <cellStyle name="Normal 2 2 3 2 6 2" xfId="7585"/>
    <cellStyle name="Normal 2 2 3 2 7" xfId="7586"/>
    <cellStyle name="Normal 2 2 3 2 7 2" xfId="7587"/>
    <cellStyle name="Normal 2 2 3 2 8" xfId="7588"/>
    <cellStyle name="Normal 2 2 3 2 8 2" xfId="7589"/>
    <cellStyle name="Normal 2 2 3 2 9" xfId="7590"/>
    <cellStyle name="Normal 2 2 3 2 9 2" xfId="7591"/>
    <cellStyle name="Normal 2 2 3 20" xfId="7592"/>
    <cellStyle name="Normal 2 2 3 21" xfId="7593"/>
    <cellStyle name="Normal 2 2 3 22" xfId="7594"/>
    <cellStyle name="Normal 2 2 3 23" xfId="7595"/>
    <cellStyle name="Normal 2 2 3 24" xfId="7596"/>
    <cellStyle name="Normal 2 2 3 25" xfId="7597"/>
    <cellStyle name="Normal 2 2 3 26" xfId="7598"/>
    <cellStyle name="Normal 2 2 3 27" xfId="7599"/>
    <cellStyle name="Normal 2 2 3 28" xfId="7600"/>
    <cellStyle name="Normal 2 2 3 29" xfId="7601"/>
    <cellStyle name="Normal 2 2 3 3" xfId="7602"/>
    <cellStyle name="Normal 2 2 3 3 10" xfId="7603"/>
    <cellStyle name="Normal 2 2 3 3 10 2" xfId="7604"/>
    <cellStyle name="Normal 2 2 3 3 11" xfId="7605"/>
    <cellStyle name="Normal 2 2 3 3 11 2" xfId="7606"/>
    <cellStyle name="Normal 2 2 3 3 12" xfId="7607"/>
    <cellStyle name="Normal 2 2 3 3 12 2" xfId="7608"/>
    <cellStyle name="Normal 2 2 3 3 13" xfId="7609"/>
    <cellStyle name="Normal 2 2 3 3 13 2" xfId="7610"/>
    <cellStyle name="Normal 2 2 3 3 14" xfId="7611"/>
    <cellStyle name="Normal 2 2 3 3 14 2" xfId="7612"/>
    <cellStyle name="Normal 2 2 3 3 15" xfId="7613"/>
    <cellStyle name="Normal 2 2 3 3 15 2" xfId="7614"/>
    <cellStyle name="Normal 2 2 3 3 16" xfId="7615"/>
    <cellStyle name="Normal 2 2 3 3 16 2" xfId="7616"/>
    <cellStyle name="Normal 2 2 3 3 17" xfId="7617"/>
    <cellStyle name="Normal 2 2 3 3 17 2" xfId="7618"/>
    <cellStyle name="Normal 2 2 3 3 18" xfId="7619"/>
    <cellStyle name="Normal 2 2 3 3 18 2" xfId="7620"/>
    <cellStyle name="Normal 2 2 3 3 19" xfId="7621"/>
    <cellStyle name="Normal 2 2 3 3 19 2" xfId="7622"/>
    <cellStyle name="Normal 2 2 3 3 2" xfId="7623"/>
    <cellStyle name="Normal 2 2 3 3 2 10" xfId="7624"/>
    <cellStyle name="Normal 2 2 3 3 2 11" xfId="7625"/>
    <cellStyle name="Normal 2 2 3 3 2 12" xfId="7626"/>
    <cellStyle name="Normal 2 2 3 3 2 13" xfId="7627"/>
    <cellStyle name="Normal 2 2 3 3 2 14" xfId="7628"/>
    <cellStyle name="Normal 2 2 3 3 2 15" xfId="7629"/>
    <cellStyle name="Normal 2 2 3 3 2 16" xfId="7630"/>
    <cellStyle name="Normal 2 2 3 3 2 17" xfId="7631"/>
    <cellStyle name="Normal 2 2 3 3 2 18" xfId="7632"/>
    <cellStyle name="Normal 2 2 3 3 2 19" xfId="7633"/>
    <cellStyle name="Normal 2 2 3 3 2 2" xfId="7634"/>
    <cellStyle name="Normal 2 2 3 3 2 20" xfId="7635"/>
    <cellStyle name="Normal 2 2 3 3 2 21" xfId="7636"/>
    <cellStyle name="Normal 2 2 3 3 2 22" xfId="7637"/>
    <cellStyle name="Normal 2 2 3 3 2 23" xfId="7638"/>
    <cellStyle name="Normal 2 2 3 3 2 24" xfId="7639"/>
    <cellStyle name="Normal 2 2 3 3 2 25" xfId="7640"/>
    <cellStyle name="Normal 2 2 3 3 2 3" xfId="7641"/>
    <cellStyle name="Normal 2 2 3 3 2 4" xfId="7642"/>
    <cellStyle name="Normal 2 2 3 3 2 5" xfId="7643"/>
    <cellStyle name="Normal 2 2 3 3 2 6" xfId="7644"/>
    <cellStyle name="Normal 2 2 3 3 2 7" xfId="7645"/>
    <cellStyle name="Normal 2 2 3 3 2 8" xfId="7646"/>
    <cellStyle name="Normal 2 2 3 3 2 9" xfId="7647"/>
    <cellStyle name="Normal 2 2 3 3 20" xfId="7648"/>
    <cellStyle name="Normal 2 2 3 3 20 2" xfId="7649"/>
    <cellStyle name="Normal 2 2 3 3 21" xfId="7650"/>
    <cellStyle name="Normal 2 2 3 3 21 2" xfId="7651"/>
    <cellStyle name="Normal 2 2 3 3 22" xfId="7652"/>
    <cellStyle name="Normal 2 2 3 3 22 2" xfId="7653"/>
    <cellStyle name="Normal 2 2 3 3 23" xfId="7654"/>
    <cellStyle name="Normal 2 2 3 3 23 2" xfId="7655"/>
    <cellStyle name="Normal 2 2 3 3 3" xfId="7656"/>
    <cellStyle name="Normal 2 2 3 3 3 2" xfId="7657"/>
    <cellStyle name="Normal 2 2 3 3 4" xfId="7658"/>
    <cellStyle name="Normal 2 2 3 3 4 2" xfId="7659"/>
    <cellStyle name="Normal 2 2 3 3 5" xfId="7660"/>
    <cellStyle name="Normal 2 2 3 3 5 2" xfId="7661"/>
    <cellStyle name="Normal 2 2 3 3 6" xfId="7662"/>
    <cellStyle name="Normal 2 2 3 3 6 2" xfId="7663"/>
    <cellStyle name="Normal 2 2 3 3 7" xfId="7664"/>
    <cellStyle name="Normal 2 2 3 3 7 2" xfId="7665"/>
    <cellStyle name="Normal 2 2 3 3 8" xfId="7666"/>
    <cellStyle name="Normal 2 2 3 3 8 2" xfId="7667"/>
    <cellStyle name="Normal 2 2 3 3 9" xfId="7668"/>
    <cellStyle name="Normal 2 2 3 3 9 2" xfId="7669"/>
    <cellStyle name="Normal 2 2 3 30" xfId="7670"/>
    <cellStyle name="Normal 2 2 3 31" xfId="7671"/>
    <cellStyle name="Normal 2 2 3 32" xfId="7672"/>
    <cellStyle name="Normal 2 2 3 4" xfId="7673"/>
    <cellStyle name="Normal 2 2 3 5" xfId="7674"/>
    <cellStyle name="Normal 2 2 3 6" xfId="7675"/>
    <cellStyle name="Normal 2 2 3 7" xfId="7676"/>
    <cellStyle name="Normal 2 2 3 8" xfId="7677"/>
    <cellStyle name="Normal 2 2 3 9" xfId="7678"/>
    <cellStyle name="Normal 2 2 30" xfId="7679"/>
    <cellStyle name="Normal 2 2 30 10" xfId="7680"/>
    <cellStyle name="Normal 2 2 30 11" xfId="7681"/>
    <cellStyle name="Normal 2 2 30 12" xfId="7682"/>
    <cellStyle name="Normal 2 2 30 13" xfId="7683"/>
    <cellStyle name="Normal 2 2 30 14" xfId="7684"/>
    <cellStyle name="Normal 2 2 30 15" xfId="7685"/>
    <cellStyle name="Normal 2 2 30 16" xfId="7686"/>
    <cellStyle name="Normal 2 2 30 17" xfId="7687"/>
    <cellStyle name="Normal 2 2 30 18" xfId="7688"/>
    <cellStyle name="Normal 2 2 30 19" xfId="7689"/>
    <cellStyle name="Normal 2 2 30 2" xfId="7690"/>
    <cellStyle name="Normal 2 2 30 2 10" xfId="7691"/>
    <cellStyle name="Normal 2 2 30 2 11" xfId="7692"/>
    <cellStyle name="Normal 2 2 30 2 12" xfId="7693"/>
    <cellStyle name="Normal 2 2 30 2 13" xfId="7694"/>
    <cellStyle name="Normal 2 2 30 2 14" xfId="7695"/>
    <cellStyle name="Normal 2 2 30 2 15" xfId="7696"/>
    <cellStyle name="Normal 2 2 30 2 16" xfId="7697"/>
    <cellStyle name="Normal 2 2 30 2 17" xfId="7698"/>
    <cellStyle name="Normal 2 2 30 2 18" xfId="7699"/>
    <cellStyle name="Normal 2 2 30 2 19" xfId="7700"/>
    <cellStyle name="Normal 2 2 30 2 2" xfId="7701"/>
    <cellStyle name="Normal 2 2 30 2 20" xfId="7702"/>
    <cellStyle name="Normal 2 2 30 2 21" xfId="7703"/>
    <cellStyle name="Normal 2 2 30 2 22" xfId="7704"/>
    <cellStyle name="Normal 2 2 30 2 23" xfId="7705"/>
    <cellStyle name="Normal 2 2 30 2 24" xfId="7706"/>
    <cellStyle name="Normal 2 2 30 2 3" xfId="7707"/>
    <cellStyle name="Normal 2 2 30 2 4" xfId="7708"/>
    <cellStyle name="Normal 2 2 30 2 5" xfId="7709"/>
    <cellStyle name="Normal 2 2 30 2 6" xfId="7710"/>
    <cellStyle name="Normal 2 2 30 2 7" xfId="7711"/>
    <cellStyle name="Normal 2 2 30 2 8" xfId="7712"/>
    <cellStyle name="Normal 2 2 30 2 9" xfId="7713"/>
    <cellStyle name="Normal 2 2 30 20" xfId="7714"/>
    <cellStyle name="Normal 2 2 30 21" xfId="7715"/>
    <cellStyle name="Normal 2 2 30 22" xfId="7716"/>
    <cellStyle name="Normal 2 2 30 23" xfId="7717"/>
    <cellStyle name="Normal 2 2 30 3" xfId="7718"/>
    <cellStyle name="Normal 2 2 30 4" xfId="7719"/>
    <cellStyle name="Normal 2 2 30 5" xfId="7720"/>
    <cellStyle name="Normal 2 2 30 6" xfId="7721"/>
    <cellStyle name="Normal 2 2 30 7" xfId="7722"/>
    <cellStyle name="Normal 2 2 30 8" xfId="7723"/>
    <cellStyle name="Normal 2 2 30 9" xfId="7724"/>
    <cellStyle name="Normal 2 2 31" xfId="7725"/>
    <cellStyle name="Normal 2 2 32" xfId="7726"/>
    <cellStyle name="Normal 2 2 33" xfId="7727"/>
    <cellStyle name="Normal 2 2 34" xfId="7728"/>
    <cellStyle name="Normal 2 2 35" xfId="7729"/>
    <cellStyle name="Normal 2 2 36" xfId="7730"/>
    <cellStyle name="Normal 2 2 37" xfId="7731"/>
    <cellStyle name="Normal 2 2 38" xfId="7732"/>
    <cellStyle name="Normal 2 2 38 10" xfId="7733"/>
    <cellStyle name="Normal 2 2 38 11" xfId="7734"/>
    <cellStyle name="Normal 2 2 38 12" xfId="7735"/>
    <cellStyle name="Normal 2 2 38 13" xfId="7736"/>
    <cellStyle name="Normal 2 2 38 14" xfId="7737"/>
    <cellStyle name="Normal 2 2 38 15" xfId="7738"/>
    <cellStyle name="Normal 2 2 38 16" xfId="7739"/>
    <cellStyle name="Normal 2 2 38 17" xfId="7740"/>
    <cellStyle name="Normal 2 2 38 18" xfId="7741"/>
    <cellStyle name="Normal 2 2 38 19" xfId="7742"/>
    <cellStyle name="Normal 2 2 38 2" xfId="7743"/>
    <cellStyle name="Normal 2 2 38 20" xfId="7744"/>
    <cellStyle name="Normal 2 2 38 21" xfId="7745"/>
    <cellStyle name="Normal 2 2 38 22" xfId="7746"/>
    <cellStyle name="Normal 2 2 38 23" xfId="7747"/>
    <cellStyle name="Normal 2 2 38 3" xfId="7748"/>
    <cellStyle name="Normal 2 2 38 4" xfId="7749"/>
    <cellStyle name="Normal 2 2 38 5" xfId="7750"/>
    <cellStyle name="Normal 2 2 38 6" xfId="7751"/>
    <cellStyle name="Normal 2 2 38 7" xfId="7752"/>
    <cellStyle name="Normal 2 2 38 8" xfId="7753"/>
    <cellStyle name="Normal 2 2 38 9" xfId="7754"/>
    <cellStyle name="Normal 2 2 39" xfId="7755"/>
    <cellStyle name="Normal 2 2 39 10" xfId="7756"/>
    <cellStyle name="Normal 2 2 39 11" xfId="7757"/>
    <cellStyle name="Normal 2 2 39 12" xfId="7758"/>
    <cellStyle name="Normal 2 2 39 13" xfId="7759"/>
    <cellStyle name="Normal 2 2 39 14" xfId="7760"/>
    <cellStyle name="Normal 2 2 39 15" xfId="7761"/>
    <cellStyle name="Normal 2 2 39 16" xfId="7762"/>
    <cellStyle name="Normal 2 2 39 17" xfId="7763"/>
    <cellStyle name="Normal 2 2 39 18" xfId="7764"/>
    <cellStyle name="Normal 2 2 39 19" xfId="7765"/>
    <cellStyle name="Normal 2 2 39 2" xfId="7766"/>
    <cellStyle name="Normal 2 2 39 20" xfId="7767"/>
    <cellStyle name="Normal 2 2 39 21" xfId="7768"/>
    <cellStyle name="Normal 2 2 39 22" xfId="7769"/>
    <cellStyle name="Normal 2 2 39 23" xfId="7770"/>
    <cellStyle name="Normal 2 2 39 3" xfId="7771"/>
    <cellStyle name="Normal 2 2 39 4" xfId="7772"/>
    <cellStyle name="Normal 2 2 39 5" xfId="7773"/>
    <cellStyle name="Normal 2 2 39 6" xfId="7774"/>
    <cellStyle name="Normal 2 2 39 7" xfId="7775"/>
    <cellStyle name="Normal 2 2 39 8" xfId="7776"/>
    <cellStyle name="Normal 2 2 39 9" xfId="7777"/>
    <cellStyle name="Normal 2 2 4" xfId="7778"/>
    <cellStyle name="Normal 2 2 4 2" xfId="7779"/>
    <cellStyle name="Normal 2 2 40" xfId="7780"/>
    <cellStyle name="Normal 2 2 40 10" xfId="7781"/>
    <cellStyle name="Normal 2 2 40 11" xfId="7782"/>
    <cellStyle name="Normal 2 2 40 12" xfId="7783"/>
    <cellStyle name="Normal 2 2 40 13" xfId="7784"/>
    <cellStyle name="Normal 2 2 40 14" xfId="7785"/>
    <cellStyle name="Normal 2 2 40 15" xfId="7786"/>
    <cellStyle name="Normal 2 2 40 16" xfId="7787"/>
    <cellStyle name="Normal 2 2 40 17" xfId="7788"/>
    <cellStyle name="Normal 2 2 40 18" xfId="7789"/>
    <cellStyle name="Normal 2 2 40 19" xfId="7790"/>
    <cellStyle name="Normal 2 2 40 2" xfId="7791"/>
    <cellStyle name="Normal 2 2 40 20" xfId="7792"/>
    <cellStyle name="Normal 2 2 40 21" xfId="7793"/>
    <cellStyle name="Normal 2 2 40 22" xfId="7794"/>
    <cellStyle name="Normal 2 2 40 23" xfId="7795"/>
    <cellStyle name="Normal 2 2 40 3" xfId="7796"/>
    <cellStyle name="Normal 2 2 40 4" xfId="7797"/>
    <cellStyle name="Normal 2 2 40 5" xfId="7798"/>
    <cellStyle name="Normal 2 2 40 6" xfId="7799"/>
    <cellStyle name="Normal 2 2 40 7" xfId="7800"/>
    <cellStyle name="Normal 2 2 40 8" xfId="7801"/>
    <cellStyle name="Normal 2 2 40 9" xfId="7802"/>
    <cellStyle name="Normal 2 2 41" xfId="7803"/>
    <cellStyle name="Normal 2 2 41 10" xfId="7804"/>
    <cellStyle name="Normal 2 2 41 11" xfId="7805"/>
    <cellStyle name="Normal 2 2 41 12" xfId="7806"/>
    <cellStyle name="Normal 2 2 41 13" xfId="7807"/>
    <cellStyle name="Normal 2 2 41 14" xfId="7808"/>
    <cellStyle name="Normal 2 2 41 15" xfId="7809"/>
    <cellStyle name="Normal 2 2 41 16" xfId="7810"/>
    <cellStyle name="Normal 2 2 41 17" xfId="7811"/>
    <cellStyle name="Normal 2 2 41 18" xfId="7812"/>
    <cellStyle name="Normal 2 2 41 19" xfId="7813"/>
    <cellStyle name="Normal 2 2 41 2" xfId="7814"/>
    <cellStyle name="Normal 2 2 41 20" xfId="7815"/>
    <cellStyle name="Normal 2 2 41 21" xfId="7816"/>
    <cellStyle name="Normal 2 2 41 22" xfId="7817"/>
    <cellStyle name="Normal 2 2 41 23" xfId="7818"/>
    <cellStyle name="Normal 2 2 41 3" xfId="7819"/>
    <cellStyle name="Normal 2 2 41 4" xfId="7820"/>
    <cellStyle name="Normal 2 2 41 5" xfId="7821"/>
    <cellStyle name="Normal 2 2 41 6" xfId="7822"/>
    <cellStyle name="Normal 2 2 41 7" xfId="7823"/>
    <cellStyle name="Normal 2 2 41 8" xfId="7824"/>
    <cellStyle name="Normal 2 2 41 9" xfId="7825"/>
    <cellStyle name="Normal 2 2 42" xfId="7826"/>
    <cellStyle name="Normal 2 2 42 10" xfId="7827"/>
    <cellStyle name="Normal 2 2 42 11" xfId="7828"/>
    <cellStyle name="Normal 2 2 42 12" xfId="7829"/>
    <cellStyle name="Normal 2 2 42 13" xfId="7830"/>
    <cellStyle name="Normal 2 2 42 14" xfId="7831"/>
    <cellStyle name="Normal 2 2 42 15" xfId="7832"/>
    <cellStyle name="Normal 2 2 42 16" xfId="7833"/>
    <cellStyle name="Normal 2 2 42 17" xfId="7834"/>
    <cellStyle name="Normal 2 2 42 18" xfId="7835"/>
    <cellStyle name="Normal 2 2 42 19" xfId="7836"/>
    <cellStyle name="Normal 2 2 42 2" xfId="7837"/>
    <cellStyle name="Normal 2 2 42 20" xfId="7838"/>
    <cellStyle name="Normal 2 2 42 21" xfId="7839"/>
    <cellStyle name="Normal 2 2 42 22" xfId="7840"/>
    <cellStyle name="Normal 2 2 42 23" xfId="7841"/>
    <cellStyle name="Normal 2 2 42 3" xfId="7842"/>
    <cellStyle name="Normal 2 2 42 4" xfId="7843"/>
    <cellStyle name="Normal 2 2 42 5" xfId="7844"/>
    <cellStyle name="Normal 2 2 42 6" xfId="7845"/>
    <cellStyle name="Normal 2 2 42 7" xfId="7846"/>
    <cellStyle name="Normal 2 2 42 8" xfId="7847"/>
    <cellStyle name="Normal 2 2 42 9" xfId="7848"/>
    <cellStyle name="Normal 2 2 43" xfId="7849"/>
    <cellStyle name="Normal 2 2 43 10" xfId="7850"/>
    <cellStyle name="Normal 2 2 43 11" xfId="7851"/>
    <cellStyle name="Normal 2 2 43 12" xfId="7852"/>
    <cellStyle name="Normal 2 2 43 13" xfId="7853"/>
    <cellStyle name="Normal 2 2 43 14" xfId="7854"/>
    <cellStyle name="Normal 2 2 43 15" xfId="7855"/>
    <cellStyle name="Normal 2 2 43 16" xfId="7856"/>
    <cellStyle name="Normal 2 2 43 17" xfId="7857"/>
    <cellStyle name="Normal 2 2 43 18" xfId="7858"/>
    <cellStyle name="Normal 2 2 43 19" xfId="7859"/>
    <cellStyle name="Normal 2 2 43 2" xfId="7860"/>
    <cellStyle name="Normal 2 2 43 20" xfId="7861"/>
    <cellStyle name="Normal 2 2 43 21" xfId="7862"/>
    <cellStyle name="Normal 2 2 43 22" xfId="7863"/>
    <cellStyle name="Normal 2 2 43 23" xfId="7864"/>
    <cellStyle name="Normal 2 2 43 3" xfId="7865"/>
    <cellStyle name="Normal 2 2 43 4" xfId="7866"/>
    <cellStyle name="Normal 2 2 43 5" xfId="7867"/>
    <cellStyle name="Normal 2 2 43 6" xfId="7868"/>
    <cellStyle name="Normal 2 2 43 7" xfId="7869"/>
    <cellStyle name="Normal 2 2 43 8" xfId="7870"/>
    <cellStyle name="Normal 2 2 43 9" xfId="7871"/>
    <cellStyle name="Normal 2 2 44" xfId="7872"/>
    <cellStyle name="Normal 2 2 44 10" xfId="7873"/>
    <cellStyle name="Normal 2 2 44 11" xfId="7874"/>
    <cellStyle name="Normal 2 2 44 12" xfId="7875"/>
    <cellStyle name="Normal 2 2 44 13" xfId="7876"/>
    <cellStyle name="Normal 2 2 44 14" xfId="7877"/>
    <cellStyle name="Normal 2 2 44 15" xfId="7878"/>
    <cellStyle name="Normal 2 2 44 16" xfId="7879"/>
    <cellStyle name="Normal 2 2 44 17" xfId="7880"/>
    <cellStyle name="Normal 2 2 44 18" xfId="7881"/>
    <cellStyle name="Normal 2 2 44 19" xfId="7882"/>
    <cellStyle name="Normal 2 2 44 2" xfId="7883"/>
    <cellStyle name="Normal 2 2 44 20" xfId="7884"/>
    <cellStyle name="Normal 2 2 44 21" xfId="7885"/>
    <cellStyle name="Normal 2 2 44 22" xfId="7886"/>
    <cellStyle name="Normal 2 2 44 23" xfId="7887"/>
    <cellStyle name="Normal 2 2 44 3" xfId="7888"/>
    <cellStyle name="Normal 2 2 44 4" xfId="7889"/>
    <cellStyle name="Normal 2 2 44 5" xfId="7890"/>
    <cellStyle name="Normal 2 2 44 6" xfId="7891"/>
    <cellStyle name="Normal 2 2 44 7" xfId="7892"/>
    <cellStyle name="Normal 2 2 44 8" xfId="7893"/>
    <cellStyle name="Normal 2 2 44 9" xfId="7894"/>
    <cellStyle name="Normal 2 2 45" xfId="7895"/>
    <cellStyle name="Normal 2 2 45 10" xfId="7896"/>
    <cellStyle name="Normal 2 2 45 11" xfId="7897"/>
    <cellStyle name="Normal 2 2 45 12" xfId="7898"/>
    <cellStyle name="Normal 2 2 45 13" xfId="7899"/>
    <cellStyle name="Normal 2 2 45 14" xfId="7900"/>
    <cellStyle name="Normal 2 2 45 15" xfId="7901"/>
    <cellStyle name="Normal 2 2 45 16" xfId="7902"/>
    <cellStyle name="Normal 2 2 45 17" xfId="7903"/>
    <cellStyle name="Normal 2 2 45 18" xfId="7904"/>
    <cellStyle name="Normal 2 2 45 19" xfId="7905"/>
    <cellStyle name="Normal 2 2 45 2" xfId="7906"/>
    <cellStyle name="Normal 2 2 45 20" xfId="7907"/>
    <cellStyle name="Normal 2 2 45 21" xfId="7908"/>
    <cellStyle name="Normal 2 2 45 22" xfId="7909"/>
    <cellStyle name="Normal 2 2 45 23" xfId="7910"/>
    <cellStyle name="Normal 2 2 45 3" xfId="7911"/>
    <cellStyle name="Normal 2 2 45 4" xfId="7912"/>
    <cellStyle name="Normal 2 2 45 5" xfId="7913"/>
    <cellStyle name="Normal 2 2 45 6" xfId="7914"/>
    <cellStyle name="Normal 2 2 45 7" xfId="7915"/>
    <cellStyle name="Normal 2 2 45 8" xfId="7916"/>
    <cellStyle name="Normal 2 2 45 9" xfId="7917"/>
    <cellStyle name="Normal 2 2 46" xfId="7918"/>
    <cellStyle name="Normal 2 2 46 2" xfId="7919"/>
    <cellStyle name="Normal 2 2 47" xfId="7920"/>
    <cellStyle name="Normal 2 2 47 2" xfId="7921"/>
    <cellStyle name="Normal 2 2 48" xfId="7922"/>
    <cellStyle name="Normal 2 2 48 2" xfId="7923"/>
    <cellStyle name="Normal 2 2 49" xfId="7924"/>
    <cellStyle name="Normal 2 2 49 2" xfId="7925"/>
    <cellStyle name="Normal 2 2 5" xfId="7926"/>
    <cellStyle name="Normal 2 2 5 10" xfId="7927"/>
    <cellStyle name="Normal 2 2 5 11" xfId="7928"/>
    <cellStyle name="Normal 2 2 5 12" xfId="7929"/>
    <cellStyle name="Normal 2 2 5 13" xfId="7930"/>
    <cellStyle name="Normal 2 2 5 14" xfId="7931"/>
    <cellStyle name="Normal 2 2 5 15" xfId="7932"/>
    <cellStyle name="Normal 2 2 5 16" xfId="7933"/>
    <cellStyle name="Normal 2 2 5 17" xfId="7934"/>
    <cellStyle name="Normal 2 2 5 18" xfId="7935"/>
    <cellStyle name="Normal 2 2 5 19" xfId="7936"/>
    <cellStyle name="Normal 2 2 5 2" xfId="7937"/>
    <cellStyle name="Normal 2 2 5 2 10" xfId="7938"/>
    <cellStyle name="Normal 2 2 5 2 11" xfId="7939"/>
    <cellStyle name="Normal 2 2 5 2 12" xfId="7940"/>
    <cellStyle name="Normal 2 2 5 2 13" xfId="7941"/>
    <cellStyle name="Normal 2 2 5 2 14" xfId="7942"/>
    <cellStyle name="Normal 2 2 5 2 15" xfId="7943"/>
    <cellStyle name="Normal 2 2 5 2 16" xfId="7944"/>
    <cellStyle name="Normal 2 2 5 2 17" xfId="7945"/>
    <cellStyle name="Normal 2 2 5 2 18" xfId="7946"/>
    <cellStyle name="Normal 2 2 5 2 19" xfId="7947"/>
    <cellStyle name="Normal 2 2 5 2 2" xfId="7948"/>
    <cellStyle name="Normal 2 2 5 2 20" xfId="7949"/>
    <cellStyle name="Normal 2 2 5 2 21" xfId="7950"/>
    <cellStyle name="Normal 2 2 5 2 22" xfId="7951"/>
    <cellStyle name="Normal 2 2 5 2 23" xfId="7952"/>
    <cellStyle name="Normal 2 2 5 2 24" xfId="7953"/>
    <cellStyle name="Normal 2 2 5 2 25" xfId="7954"/>
    <cellStyle name="Normal 2 2 5 2 26" xfId="7955"/>
    <cellStyle name="Normal 2 2 5 2 27" xfId="7956"/>
    <cellStyle name="Normal 2 2 5 2 28" xfId="7957"/>
    <cellStyle name="Normal 2 2 5 2 29" xfId="7958"/>
    <cellStyle name="Normal 2 2 5 2 3" xfId="7959"/>
    <cellStyle name="Normal 2 2 5 2 30" xfId="7960"/>
    <cellStyle name="Normal 2 2 5 2 31" xfId="7961"/>
    <cellStyle name="Normal 2 2 5 2 32" xfId="7962"/>
    <cellStyle name="Normal 2 2 5 2 4" xfId="7963"/>
    <cellStyle name="Normal 2 2 5 2 5" xfId="7964"/>
    <cellStyle name="Normal 2 2 5 2 6" xfId="7965"/>
    <cellStyle name="Normal 2 2 5 2 7" xfId="7966"/>
    <cellStyle name="Normal 2 2 5 2 8" xfId="7967"/>
    <cellStyle name="Normal 2 2 5 2 9" xfId="7968"/>
    <cellStyle name="Normal 2 2 5 20" xfId="7969"/>
    <cellStyle name="Normal 2 2 5 21" xfId="7970"/>
    <cellStyle name="Normal 2 2 5 22" xfId="7971"/>
    <cellStyle name="Normal 2 2 5 23" xfId="7972"/>
    <cellStyle name="Normal 2 2 5 24" xfId="7973"/>
    <cellStyle name="Normal 2 2 5 25" xfId="7974"/>
    <cellStyle name="Normal 2 2 5 26" xfId="7975"/>
    <cellStyle name="Normal 2 2 5 27" xfId="7976"/>
    <cellStyle name="Normal 2 2 5 28" xfId="7977"/>
    <cellStyle name="Normal 2 2 5 29" xfId="7978"/>
    <cellStyle name="Normal 2 2 5 3" xfId="7979"/>
    <cellStyle name="Normal 2 2 5 30" xfId="7980"/>
    <cellStyle name="Normal 2 2 5 31" xfId="7981"/>
    <cellStyle name="Normal 2 2 5 4" xfId="7982"/>
    <cellStyle name="Normal 2 2 5 5" xfId="7983"/>
    <cellStyle name="Normal 2 2 5 6" xfId="7984"/>
    <cellStyle name="Normal 2 2 5 7" xfId="7985"/>
    <cellStyle name="Normal 2 2 5 8" xfId="7986"/>
    <cellStyle name="Normal 2 2 5 9" xfId="7987"/>
    <cellStyle name="Normal 2 2 50" xfId="7988"/>
    <cellStyle name="Normal 2 2 50 2" xfId="7989"/>
    <cellStyle name="Normal 2 2 51" xfId="7990"/>
    <cellStyle name="Normal 2 2 51 2" xfId="7991"/>
    <cellStyle name="Normal 2 2 52" xfId="7992"/>
    <cellStyle name="Normal 2 2 52 2" xfId="7993"/>
    <cellStyle name="Normal 2 2 53" xfId="7994"/>
    <cellStyle name="Normal 2 2 53 2" xfId="7995"/>
    <cellStyle name="Normal 2 2 54" xfId="7996"/>
    <cellStyle name="Normal 2 2 54 2" xfId="7997"/>
    <cellStyle name="Normal 2 2 55" xfId="7998"/>
    <cellStyle name="Normal 2 2 55 2" xfId="7999"/>
    <cellStyle name="Normal 2 2 56" xfId="8000"/>
    <cellStyle name="Normal 2 2 56 2" xfId="8001"/>
    <cellStyle name="Normal 2 2 57" xfId="8002"/>
    <cellStyle name="Normal 2 2 57 2" xfId="8003"/>
    <cellStyle name="Normal 2 2 58" xfId="8004"/>
    <cellStyle name="Normal 2 2 58 2" xfId="8005"/>
    <cellStyle name="Normal 2 2 59" xfId="8006"/>
    <cellStyle name="Normal 2 2 59 2" xfId="8007"/>
    <cellStyle name="Normal 2 2 6" xfId="8008"/>
    <cellStyle name="Normal 2 2 6 10" xfId="8009"/>
    <cellStyle name="Normal 2 2 6 11" xfId="8010"/>
    <cellStyle name="Normal 2 2 6 12" xfId="8011"/>
    <cellStyle name="Normal 2 2 6 13" xfId="8012"/>
    <cellStyle name="Normal 2 2 6 14" xfId="8013"/>
    <cellStyle name="Normal 2 2 6 15" xfId="8014"/>
    <cellStyle name="Normal 2 2 6 16" xfId="8015"/>
    <cellStyle name="Normal 2 2 6 17" xfId="8016"/>
    <cellStyle name="Normal 2 2 6 18" xfId="8017"/>
    <cellStyle name="Normal 2 2 6 19" xfId="8018"/>
    <cellStyle name="Normal 2 2 6 2" xfId="8019"/>
    <cellStyle name="Normal 2 2 6 2 10" xfId="8020"/>
    <cellStyle name="Normal 2 2 6 2 11" xfId="8021"/>
    <cellStyle name="Normal 2 2 6 2 12" xfId="8022"/>
    <cellStyle name="Normal 2 2 6 2 13" xfId="8023"/>
    <cellStyle name="Normal 2 2 6 2 14" xfId="8024"/>
    <cellStyle name="Normal 2 2 6 2 15" xfId="8025"/>
    <cellStyle name="Normal 2 2 6 2 16" xfId="8026"/>
    <cellStyle name="Normal 2 2 6 2 17" xfId="8027"/>
    <cellStyle name="Normal 2 2 6 2 18" xfId="8028"/>
    <cellStyle name="Normal 2 2 6 2 19" xfId="8029"/>
    <cellStyle name="Normal 2 2 6 2 2" xfId="8030"/>
    <cellStyle name="Normal 2 2 6 2 20" xfId="8031"/>
    <cellStyle name="Normal 2 2 6 2 21" xfId="8032"/>
    <cellStyle name="Normal 2 2 6 2 22" xfId="8033"/>
    <cellStyle name="Normal 2 2 6 2 23" xfId="8034"/>
    <cellStyle name="Normal 2 2 6 2 24" xfId="8035"/>
    <cellStyle name="Normal 2 2 6 2 25" xfId="8036"/>
    <cellStyle name="Normal 2 2 6 2 26" xfId="8037"/>
    <cellStyle name="Normal 2 2 6 2 27" xfId="8038"/>
    <cellStyle name="Normal 2 2 6 2 28" xfId="8039"/>
    <cellStyle name="Normal 2 2 6 2 29" xfId="8040"/>
    <cellStyle name="Normal 2 2 6 2 3" xfId="8041"/>
    <cellStyle name="Normal 2 2 6 2 30" xfId="8042"/>
    <cellStyle name="Normal 2 2 6 2 31" xfId="8043"/>
    <cellStyle name="Normal 2 2 6 2 32" xfId="8044"/>
    <cellStyle name="Normal 2 2 6 2 4" xfId="8045"/>
    <cellStyle name="Normal 2 2 6 2 5" xfId="8046"/>
    <cellStyle name="Normal 2 2 6 2 6" xfId="8047"/>
    <cellStyle name="Normal 2 2 6 2 7" xfId="8048"/>
    <cellStyle name="Normal 2 2 6 2 8" xfId="8049"/>
    <cellStyle name="Normal 2 2 6 2 9" xfId="8050"/>
    <cellStyle name="Normal 2 2 6 20" xfId="8051"/>
    <cellStyle name="Normal 2 2 6 21" xfId="8052"/>
    <cellStyle name="Normal 2 2 6 22" xfId="8053"/>
    <cellStyle name="Normal 2 2 6 23" xfId="8054"/>
    <cellStyle name="Normal 2 2 6 24" xfId="8055"/>
    <cellStyle name="Normal 2 2 6 25" xfId="8056"/>
    <cellStyle name="Normal 2 2 6 26" xfId="8057"/>
    <cellStyle name="Normal 2 2 6 27" xfId="8058"/>
    <cellStyle name="Normal 2 2 6 28" xfId="8059"/>
    <cellStyle name="Normal 2 2 6 29" xfId="8060"/>
    <cellStyle name="Normal 2 2 6 3" xfId="8061"/>
    <cellStyle name="Normal 2 2 6 3 2" xfId="8062"/>
    <cellStyle name="Normal 2 2 6 3 2 2" xfId="8063"/>
    <cellStyle name="Normal 2 2 6 3 2 2 2" xfId="8064"/>
    <cellStyle name="Normal 2 2 6 3 2 3" xfId="8065"/>
    <cellStyle name="Normal 2 2 6 3 3" xfId="8066"/>
    <cellStyle name="Normal 2 2 6 3 3 2" xfId="8067"/>
    <cellStyle name="Normal 2 2 6 3 3 2 2" xfId="8068"/>
    <cellStyle name="Normal 2 2 6 3 3 3" xfId="8069"/>
    <cellStyle name="Normal 2 2 6 30" xfId="8070"/>
    <cellStyle name="Normal 2 2 6 31" xfId="8071"/>
    <cellStyle name="Normal 2 2 6 32" xfId="8072"/>
    <cellStyle name="Normal 2 2 6 4" xfId="8073"/>
    <cellStyle name="Normal 2 2 6 5" xfId="8074"/>
    <cellStyle name="Normal 2 2 6 6" xfId="8075"/>
    <cellStyle name="Normal 2 2 6 7" xfId="8076"/>
    <cellStyle name="Normal 2 2 6 8" xfId="8077"/>
    <cellStyle name="Normal 2 2 6 9" xfId="8078"/>
    <cellStyle name="Normal 2 2 60" xfId="8079"/>
    <cellStyle name="Normal 2 2 60 2" xfId="8080"/>
    <cellStyle name="Normal 2 2 61" xfId="8081"/>
    <cellStyle name="Normal 2 2 62" xfId="8082"/>
    <cellStyle name="Normal 2 2 63" xfId="8083"/>
    <cellStyle name="Normal 2 2 64" xfId="8084"/>
    <cellStyle name="Normal 2 2 65" xfId="8085"/>
    <cellStyle name="Normal 2 2 66" xfId="8086"/>
    <cellStyle name="Normal 2 2 67" xfId="8087"/>
    <cellStyle name="Normal 2 2 68" xfId="8088"/>
    <cellStyle name="Normal 2 2 69" xfId="18352"/>
    <cellStyle name="Normal 2 2 7" xfId="8089"/>
    <cellStyle name="Normal 2 2 7 10" xfId="8090"/>
    <cellStyle name="Normal 2 2 7 11" xfId="8091"/>
    <cellStyle name="Normal 2 2 7 12" xfId="8092"/>
    <cellStyle name="Normal 2 2 7 13" xfId="8093"/>
    <cellStyle name="Normal 2 2 7 14" xfId="8094"/>
    <cellStyle name="Normal 2 2 7 15" xfId="8095"/>
    <cellStyle name="Normal 2 2 7 16" xfId="8096"/>
    <cellStyle name="Normal 2 2 7 17" xfId="8097"/>
    <cellStyle name="Normal 2 2 7 18" xfId="8098"/>
    <cellStyle name="Normal 2 2 7 19" xfId="8099"/>
    <cellStyle name="Normal 2 2 7 2" xfId="8100"/>
    <cellStyle name="Normal 2 2 7 2 10" xfId="8101"/>
    <cellStyle name="Normal 2 2 7 2 11" xfId="8102"/>
    <cellStyle name="Normal 2 2 7 2 12" xfId="8103"/>
    <cellStyle name="Normal 2 2 7 2 13" xfId="8104"/>
    <cellStyle name="Normal 2 2 7 2 14" xfId="8105"/>
    <cellStyle name="Normal 2 2 7 2 15" xfId="8106"/>
    <cellStyle name="Normal 2 2 7 2 16" xfId="8107"/>
    <cellStyle name="Normal 2 2 7 2 17" xfId="8108"/>
    <cellStyle name="Normal 2 2 7 2 18" xfId="8109"/>
    <cellStyle name="Normal 2 2 7 2 19" xfId="8110"/>
    <cellStyle name="Normal 2 2 7 2 2" xfId="8111"/>
    <cellStyle name="Normal 2 2 7 2 20" xfId="8112"/>
    <cellStyle name="Normal 2 2 7 2 21" xfId="8113"/>
    <cellStyle name="Normal 2 2 7 2 22" xfId="8114"/>
    <cellStyle name="Normal 2 2 7 2 23" xfId="8115"/>
    <cellStyle name="Normal 2 2 7 2 24" xfId="8116"/>
    <cellStyle name="Normal 2 2 7 2 25" xfId="8117"/>
    <cellStyle name="Normal 2 2 7 2 26" xfId="8118"/>
    <cellStyle name="Normal 2 2 7 2 27" xfId="8119"/>
    <cellStyle name="Normal 2 2 7 2 28" xfId="8120"/>
    <cellStyle name="Normal 2 2 7 2 29" xfId="8121"/>
    <cellStyle name="Normal 2 2 7 2 3" xfId="8122"/>
    <cellStyle name="Normal 2 2 7 2 30" xfId="8123"/>
    <cellStyle name="Normal 2 2 7 2 31" xfId="8124"/>
    <cellStyle name="Normal 2 2 7 2 32" xfId="8125"/>
    <cellStyle name="Normal 2 2 7 2 4" xfId="8126"/>
    <cellStyle name="Normal 2 2 7 2 5" xfId="8127"/>
    <cellStyle name="Normal 2 2 7 2 6" xfId="8128"/>
    <cellStyle name="Normal 2 2 7 2 7" xfId="8129"/>
    <cellStyle name="Normal 2 2 7 2 8" xfId="8130"/>
    <cellStyle name="Normal 2 2 7 2 9" xfId="8131"/>
    <cellStyle name="Normal 2 2 7 20" xfId="8132"/>
    <cellStyle name="Normal 2 2 7 21" xfId="8133"/>
    <cellStyle name="Normal 2 2 7 22" xfId="8134"/>
    <cellStyle name="Normal 2 2 7 23" xfId="8135"/>
    <cellStyle name="Normal 2 2 7 24" xfId="8136"/>
    <cellStyle name="Normal 2 2 7 25" xfId="8137"/>
    <cellStyle name="Normal 2 2 7 26" xfId="8138"/>
    <cellStyle name="Normal 2 2 7 27" xfId="8139"/>
    <cellStyle name="Normal 2 2 7 28" xfId="8140"/>
    <cellStyle name="Normal 2 2 7 29" xfId="8141"/>
    <cellStyle name="Normal 2 2 7 3" xfId="8142"/>
    <cellStyle name="Normal 2 2 7 30" xfId="8143"/>
    <cellStyle name="Normal 2 2 7 31" xfId="8144"/>
    <cellStyle name="Normal 2 2 7 4" xfId="8145"/>
    <cellStyle name="Normal 2 2 7 5" xfId="8146"/>
    <cellStyle name="Normal 2 2 7 6" xfId="8147"/>
    <cellStyle name="Normal 2 2 7 7" xfId="8148"/>
    <cellStyle name="Normal 2 2 7 8" xfId="8149"/>
    <cellStyle name="Normal 2 2 7 9" xfId="8150"/>
    <cellStyle name="Normal 2 2 70" xfId="18353"/>
    <cellStyle name="Normal 2 2 8" xfId="8151"/>
    <cellStyle name="Normal 2 2 8 10" xfId="8152"/>
    <cellStyle name="Normal 2 2 8 11" xfId="8153"/>
    <cellStyle name="Normal 2 2 8 12" xfId="8154"/>
    <cellStyle name="Normal 2 2 8 13" xfId="8155"/>
    <cellStyle name="Normal 2 2 8 14" xfId="8156"/>
    <cellStyle name="Normal 2 2 8 15" xfId="8157"/>
    <cellStyle name="Normal 2 2 8 16" xfId="8158"/>
    <cellStyle name="Normal 2 2 8 17" xfId="8159"/>
    <cellStyle name="Normal 2 2 8 18" xfId="8160"/>
    <cellStyle name="Normal 2 2 8 19" xfId="8161"/>
    <cellStyle name="Normal 2 2 8 2" xfId="8162"/>
    <cellStyle name="Normal 2 2 8 20" xfId="8163"/>
    <cellStyle name="Normal 2 2 8 21" xfId="8164"/>
    <cellStyle name="Normal 2 2 8 22" xfId="8165"/>
    <cellStyle name="Normal 2 2 8 23" xfId="8166"/>
    <cellStyle name="Normal 2 2 8 24" xfId="8167"/>
    <cellStyle name="Normal 2 2 8 25" xfId="8168"/>
    <cellStyle name="Normal 2 2 8 26" xfId="8169"/>
    <cellStyle name="Normal 2 2 8 27" xfId="8170"/>
    <cellStyle name="Normal 2 2 8 28" xfId="8171"/>
    <cellStyle name="Normal 2 2 8 29" xfId="8172"/>
    <cellStyle name="Normal 2 2 8 3" xfId="8173"/>
    <cellStyle name="Normal 2 2 8 30" xfId="8174"/>
    <cellStyle name="Normal 2 2 8 31" xfId="8175"/>
    <cellStyle name="Normal 2 2 8 32" xfId="8176"/>
    <cellStyle name="Normal 2 2 8 4" xfId="8177"/>
    <cellStyle name="Normal 2 2 8 5" xfId="8178"/>
    <cellStyle name="Normal 2 2 8 6" xfId="8179"/>
    <cellStyle name="Normal 2 2 8 7" xfId="8180"/>
    <cellStyle name="Normal 2 2 8 8" xfId="8181"/>
    <cellStyle name="Normal 2 2 8 9" xfId="8182"/>
    <cellStyle name="Normal 2 2 9" xfId="8183"/>
    <cellStyle name="Normal 2 2_ACES Shortcut" xfId="8184"/>
    <cellStyle name="Normal 2 20" xfId="8185"/>
    <cellStyle name="Normal 2 20 10" xfId="8186"/>
    <cellStyle name="Normal 2 20 11" xfId="8187"/>
    <cellStyle name="Normal 2 20 12" xfId="8188"/>
    <cellStyle name="Normal 2 20 13" xfId="8189"/>
    <cellStyle name="Normal 2 20 14" xfId="8190"/>
    <cellStyle name="Normal 2 20 15" xfId="8191"/>
    <cellStyle name="Normal 2 20 16" xfId="8192"/>
    <cellStyle name="Normal 2 20 17" xfId="8193"/>
    <cellStyle name="Normal 2 20 18" xfId="8194"/>
    <cellStyle name="Normal 2 20 19" xfId="8195"/>
    <cellStyle name="Normal 2 20 2" xfId="8196"/>
    <cellStyle name="Normal 2 20 20" xfId="8197"/>
    <cellStyle name="Normal 2 20 21" xfId="8198"/>
    <cellStyle name="Normal 2 20 22" xfId="8199"/>
    <cellStyle name="Normal 2 20 23" xfId="8200"/>
    <cellStyle name="Normal 2 20 24" xfId="8201"/>
    <cellStyle name="Normal 2 20 3" xfId="8202"/>
    <cellStyle name="Normal 2 20 4" xfId="8203"/>
    <cellStyle name="Normal 2 20 5" xfId="8204"/>
    <cellStyle name="Normal 2 20 6" xfId="8205"/>
    <cellStyle name="Normal 2 20 7" xfId="8206"/>
    <cellStyle name="Normal 2 20 8" xfId="8207"/>
    <cellStyle name="Normal 2 20 9" xfId="8208"/>
    <cellStyle name="Normal 2 21" xfId="8209"/>
    <cellStyle name="Normal 2 21 10" xfId="8210"/>
    <cellStyle name="Normal 2 21 11" xfId="8211"/>
    <cellStyle name="Normal 2 21 12" xfId="8212"/>
    <cellStyle name="Normal 2 21 13" xfId="8213"/>
    <cellStyle name="Normal 2 21 14" xfId="8214"/>
    <cellStyle name="Normal 2 21 15" xfId="8215"/>
    <cellStyle name="Normal 2 21 16" xfId="8216"/>
    <cellStyle name="Normal 2 21 17" xfId="8217"/>
    <cellStyle name="Normal 2 21 18" xfId="8218"/>
    <cellStyle name="Normal 2 21 19" xfId="8219"/>
    <cellStyle name="Normal 2 21 2" xfId="8220"/>
    <cellStyle name="Normal 2 21 20" xfId="8221"/>
    <cellStyle name="Normal 2 21 21" xfId="8222"/>
    <cellStyle name="Normal 2 21 22" xfId="8223"/>
    <cellStyle name="Normal 2 21 23" xfId="8224"/>
    <cellStyle name="Normal 2 21 24" xfId="8225"/>
    <cellStyle name="Normal 2 21 3" xfId="8226"/>
    <cellStyle name="Normal 2 21 4" xfId="8227"/>
    <cellStyle name="Normal 2 21 5" xfId="8228"/>
    <cellStyle name="Normal 2 21 6" xfId="8229"/>
    <cellStyle name="Normal 2 21 7" xfId="8230"/>
    <cellStyle name="Normal 2 21 8" xfId="8231"/>
    <cellStyle name="Normal 2 21 9" xfId="8232"/>
    <cellStyle name="Normal 2 22" xfId="8233"/>
    <cellStyle name="Normal 2 22 10" xfId="8234"/>
    <cellStyle name="Normal 2 22 11" xfId="8235"/>
    <cellStyle name="Normal 2 22 12" xfId="8236"/>
    <cellStyle name="Normal 2 22 13" xfId="8237"/>
    <cellStyle name="Normal 2 22 14" xfId="8238"/>
    <cellStyle name="Normal 2 22 15" xfId="8239"/>
    <cellStyle name="Normal 2 22 16" xfId="8240"/>
    <cellStyle name="Normal 2 22 17" xfId="8241"/>
    <cellStyle name="Normal 2 22 18" xfId="8242"/>
    <cellStyle name="Normal 2 22 19" xfId="8243"/>
    <cellStyle name="Normal 2 22 2" xfId="8244"/>
    <cellStyle name="Normal 2 22 20" xfId="8245"/>
    <cellStyle name="Normal 2 22 21" xfId="8246"/>
    <cellStyle name="Normal 2 22 22" xfId="8247"/>
    <cellStyle name="Normal 2 22 23" xfId="8248"/>
    <cellStyle name="Normal 2 22 24" xfId="8249"/>
    <cellStyle name="Normal 2 22 3" xfId="8250"/>
    <cellStyle name="Normal 2 22 4" xfId="8251"/>
    <cellStyle name="Normal 2 22 5" xfId="8252"/>
    <cellStyle name="Normal 2 22 6" xfId="8253"/>
    <cellStyle name="Normal 2 22 7" xfId="8254"/>
    <cellStyle name="Normal 2 22 8" xfId="8255"/>
    <cellStyle name="Normal 2 22 9" xfId="8256"/>
    <cellStyle name="Normal 2 23" xfId="8257"/>
    <cellStyle name="Normal 2 24" xfId="8258"/>
    <cellStyle name="Normal 2 24 2" xfId="8259"/>
    <cellStyle name="Normal 2 24 3" xfId="8260"/>
    <cellStyle name="Normal 2 25" xfId="8261"/>
    <cellStyle name="Normal 2 25 2" xfId="8262"/>
    <cellStyle name="Normal 2 25 3" xfId="8263"/>
    <cellStyle name="Normal 2 26" xfId="8264"/>
    <cellStyle name="Normal 2 26 2" xfId="8265"/>
    <cellStyle name="Normal 2 26 3" xfId="8266"/>
    <cellStyle name="Normal 2 27" xfId="8267"/>
    <cellStyle name="Normal 2 27 2" xfId="8268"/>
    <cellStyle name="Normal 2 27 3" xfId="8269"/>
    <cellStyle name="Normal 2 28" xfId="8270"/>
    <cellStyle name="Normal 2 28 2" xfId="8271"/>
    <cellStyle name="Normal 2 28 3" xfId="8272"/>
    <cellStyle name="Normal 2 29" xfId="8273"/>
    <cellStyle name="Normal 2 29 2" xfId="8274"/>
    <cellStyle name="Normal 2 29 3" xfId="8275"/>
    <cellStyle name="Normal 2 29 3 2" xfId="8276"/>
    <cellStyle name="Normal 2 29 3 2 2" xfId="8277"/>
    <cellStyle name="Normal 2 29 3 3" xfId="8278"/>
    <cellStyle name="Normal 2 29 4" xfId="8279"/>
    <cellStyle name="Normal 2 29 4 2" xfId="8280"/>
    <cellStyle name="Normal 2 29 4 2 2" xfId="8281"/>
    <cellStyle name="Normal 2 29 4 3" xfId="8282"/>
    <cellStyle name="Normal 2 29 5" xfId="8283"/>
    <cellStyle name="Normal 2 3" xfId="8284"/>
    <cellStyle name="Normal 2 3 10" xfId="8285"/>
    <cellStyle name="Normal 2 3 11" xfId="8286"/>
    <cellStyle name="Normal 2 3 12" xfId="8287"/>
    <cellStyle name="Normal 2 3 13" xfId="8288"/>
    <cellStyle name="Normal 2 3 14" xfId="8289"/>
    <cellStyle name="Normal 2 3 15" xfId="8290"/>
    <cellStyle name="Normal 2 3 16" xfId="8291"/>
    <cellStyle name="Normal 2 3 17" xfId="8292"/>
    <cellStyle name="Normal 2 3 18" xfId="8293"/>
    <cellStyle name="Normal 2 3 19" xfId="8294"/>
    <cellStyle name="Normal 2 3 2" xfId="8295"/>
    <cellStyle name="Normal 2 3 2 10" xfId="8296"/>
    <cellStyle name="Normal 2 3 2 10 2" xfId="8297"/>
    <cellStyle name="Normal 2 3 2 11" xfId="8298"/>
    <cellStyle name="Normal 2 3 2 11 2" xfId="8299"/>
    <cellStyle name="Normal 2 3 2 12" xfId="8300"/>
    <cellStyle name="Normal 2 3 2 12 2" xfId="8301"/>
    <cellStyle name="Normal 2 3 2 13" xfId="8302"/>
    <cellStyle name="Normal 2 3 2 13 2" xfId="8303"/>
    <cellStyle name="Normal 2 3 2 14" xfId="8304"/>
    <cellStyle name="Normal 2 3 2 14 2" xfId="8305"/>
    <cellStyle name="Normal 2 3 2 15" xfId="8306"/>
    <cellStyle name="Normal 2 3 2 15 2" xfId="8307"/>
    <cellStyle name="Normal 2 3 2 16" xfId="8308"/>
    <cellStyle name="Normal 2 3 2 16 2" xfId="8309"/>
    <cellStyle name="Normal 2 3 2 17" xfId="8310"/>
    <cellStyle name="Normal 2 3 2 17 2" xfId="8311"/>
    <cellStyle name="Normal 2 3 2 18" xfId="8312"/>
    <cellStyle name="Normal 2 3 2 18 2" xfId="8313"/>
    <cellStyle name="Normal 2 3 2 19" xfId="8314"/>
    <cellStyle name="Normal 2 3 2 19 2" xfId="8315"/>
    <cellStyle name="Normal 2 3 2 2" xfId="8316"/>
    <cellStyle name="Normal 2 3 2 2 10" xfId="8317"/>
    <cellStyle name="Normal 2 3 2 2 11" xfId="8318"/>
    <cellStyle name="Normal 2 3 2 2 12" xfId="8319"/>
    <cellStyle name="Normal 2 3 2 2 13" xfId="8320"/>
    <cellStyle name="Normal 2 3 2 2 14" xfId="8321"/>
    <cellStyle name="Normal 2 3 2 2 15" xfId="8322"/>
    <cellStyle name="Normal 2 3 2 2 16" xfId="8323"/>
    <cellStyle name="Normal 2 3 2 2 17" xfId="8324"/>
    <cellStyle name="Normal 2 3 2 2 18" xfId="8325"/>
    <cellStyle name="Normal 2 3 2 2 19" xfId="8326"/>
    <cellStyle name="Normal 2 3 2 2 2" xfId="8327"/>
    <cellStyle name="Normal 2 3 2 2 2 10" xfId="8328"/>
    <cellStyle name="Normal 2 3 2 2 2 10 2" xfId="8329"/>
    <cellStyle name="Normal 2 3 2 2 2 11" xfId="8330"/>
    <cellStyle name="Normal 2 3 2 2 2 11 2" xfId="8331"/>
    <cellStyle name="Normal 2 3 2 2 2 12" xfId="8332"/>
    <cellStyle name="Normal 2 3 2 2 2 12 2" xfId="8333"/>
    <cellStyle name="Normal 2 3 2 2 2 13" xfId="8334"/>
    <cellStyle name="Normal 2 3 2 2 2 13 2" xfId="8335"/>
    <cellStyle name="Normal 2 3 2 2 2 14" xfId="8336"/>
    <cellStyle name="Normal 2 3 2 2 2 14 2" xfId="8337"/>
    <cellStyle name="Normal 2 3 2 2 2 15" xfId="8338"/>
    <cellStyle name="Normal 2 3 2 2 2 15 2" xfId="8339"/>
    <cellStyle name="Normal 2 3 2 2 2 16" xfId="8340"/>
    <cellStyle name="Normal 2 3 2 2 2 16 2" xfId="8341"/>
    <cellStyle name="Normal 2 3 2 2 2 17" xfId="8342"/>
    <cellStyle name="Normal 2 3 2 2 2 17 2" xfId="8343"/>
    <cellStyle name="Normal 2 3 2 2 2 18" xfId="8344"/>
    <cellStyle name="Normal 2 3 2 2 2 18 2" xfId="8345"/>
    <cellStyle name="Normal 2 3 2 2 2 19" xfId="8346"/>
    <cellStyle name="Normal 2 3 2 2 2 19 2" xfId="8347"/>
    <cellStyle name="Normal 2 3 2 2 2 2" xfId="8348"/>
    <cellStyle name="Normal 2 3 2 2 2 2 2" xfId="8349"/>
    <cellStyle name="Normal 2 3 2 2 2 20" xfId="8350"/>
    <cellStyle name="Normal 2 3 2 2 2 20 2" xfId="8351"/>
    <cellStyle name="Normal 2 3 2 2 2 21" xfId="8352"/>
    <cellStyle name="Normal 2 3 2 2 2 21 2" xfId="8353"/>
    <cellStyle name="Normal 2 3 2 2 2 22" xfId="8354"/>
    <cellStyle name="Normal 2 3 2 2 2 22 2" xfId="8355"/>
    <cellStyle name="Normal 2 3 2 2 2 23" xfId="8356"/>
    <cellStyle name="Normal 2 3 2 2 2 23 2" xfId="8357"/>
    <cellStyle name="Normal 2 3 2 2 2 24" xfId="8358"/>
    <cellStyle name="Normal 2 3 2 2 2 3" xfId="8359"/>
    <cellStyle name="Normal 2 3 2 2 2 3 2" xfId="8360"/>
    <cellStyle name="Normal 2 3 2 2 2 4" xfId="8361"/>
    <cellStyle name="Normal 2 3 2 2 2 4 2" xfId="8362"/>
    <cellStyle name="Normal 2 3 2 2 2 5" xfId="8363"/>
    <cellStyle name="Normal 2 3 2 2 2 5 2" xfId="8364"/>
    <cellStyle name="Normal 2 3 2 2 2 6" xfId="8365"/>
    <cellStyle name="Normal 2 3 2 2 2 6 2" xfId="8366"/>
    <cellStyle name="Normal 2 3 2 2 2 7" xfId="8367"/>
    <cellStyle name="Normal 2 3 2 2 2 7 2" xfId="8368"/>
    <cellStyle name="Normal 2 3 2 2 2 8" xfId="8369"/>
    <cellStyle name="Normal 2 3 2 2 2 8 2" xfId="8370"/>
    <cellStyle name="Normal 2 3 2 2 2 9" xfId="8371"/>
    <cellStyle name="Normal 2 3 2 2 2 9 2" xfId="8372"/>
    <cellStyle name="Normal 2 3 2 2 20" xfId="8373"/>
    <cellStyle name="Normal 2 3 2 2 21" xfId="8374"/>
    <cellStyle name="Normal 2 3 2 2 22" xfId="8375"/>
    <cellStyle name="Normal 2 3 2 2 23" xfId="8376"/>
    <cellStyle name="Normal 2 3 2 2 24" xfId="8377"/>
    <cellStyle name="Normal 2 3 2 2 3" xfId="8378"/>
    <cellStyle name="Normal 2 3 2 2 4" xfId="8379"/>
    <cellStyle name="Normal 2 3 2 2 5" xfId="8380"/>
    <cellStyle name="Normal 2 3 2 2 6" xfId="8381"/>
    <cellStyle name="Normal 2 3 2 2 7" xfId="8382"/>
    <cellStyle name="Normal 2 3 2 2 8" xfId="8383"/>
    <cellStyle name="Normal 2 3 2 2 9" xfId="8384"/>
    <cellStyle name="Normal 2 3 2 20" xfId="8385"/>
    <cellStyle name="Normal 2 3 2 20 2" xfId="8386"/>
    <cellStyle name="Normal 2 3 2 21" xfId="8387"/>
    <cellStyle name="Normal 2 3 2 21 2" xfId="8388"/>
    <cellStyle name="Normal 2 3 2 22" xfId="8389"/>
    <cellStyle name="Normal 2 3 2 22 2" xfId="8390"/>
    <cellStyle name="Normal 2 3 2 23" xfId="8391"/>
    <cellStyle name="Normal 2 3 2 23 2" xfId="8392"/>
    <cellStyle name="Normal 2 3 2 24" xfId="8393"/>
    <cellStyle name="Normal 2 3 2 24 2" xfId="8394"/>
    <cellStyle name="Normal 2 3 2 25" xfId="8395"/>
    <cellStyle name="Normal 2 3 2 25 2" xfId="8396"/>
    <cellStyle name="Normal 2 3 2 26" xfId="8397"/>
    <cellStyle name="Normal 2 3 2 26 2" xfId="8398"/>
    <cellStyle name="Normal 2 3 2 27" xfId="8399"/>
    <cellStyle name="Normal 2 3 2 27 2" xfId="8400"/>
    <cellStyle name="Normal 2 3 2 28" xfId="8401"/>
    <cellStyle name="Normal 2 3 2 28 2" xfId="8402"/>
    <cellStyle name="Normal 2 3 2 29" xfId="8403"/>
    <cellStyle name="Normal 2 3 2 29 2" xfId="8404"/>
    <cellStyle name="Normal 2 3 2 3" xfId="8405"/>
    <cellStyle name="Normal 2 3 2 3 2" xfId="8406"/>
    <cellStyle name="Normal 2 3 2 30" xfId="8407"/>
    <cellStyle name="Normal 2 3 2 30 2" xfId="8408"/>
    <cellStyle name="Normal 2 3 2 31" xfId="8409"/>
    <cellStyle name="Normal 2 3 2 31 2" xfId="8410"/>
    <cellStyle name="Normal 2 3 2 4" xfId="8411"/>
    <cellStyle name="Normal 2 3 2 4 2" xfId="8412"/>
    <cellStyle name="Normal 2 3 2 5" xfId="8413"/>
    <cellStyle name="Normal 2 3 2 5 2" xfId="8414"/>
    <cellStyle name="Normal 2 3 2 6" xfId="8415"/>
    <cellStyle name="Normal 2 3 2 6 2" xfId="8416"/>
    <cellStyle name="Normal 2 3 2 7" xfId="8417"/>
    <cellStyle name="Normal 2 3 2 7 2" xfId="8418"/>
    <cellStyle name="Normal 2 3 2 8" xfId="8419"/>
    <cellStyle name="Normal 2 3 2 8 2" xfId="8420"/>
    <cellStyle name="Normal 2 3 2 9" xfId="8421"/>
    <cellStyle name="Normal 2 3 2 9 2" xfId="8422"/>
    <cellStyle name="Normal 2 3 20" xfId="8423"/>
    <cellStyle name="Normal 2 3 21" xfId="8424"/>
    <cellStyle name="Normal 2 3 22" xfId="8425"/>
    <cellStyle name="Normal 2 3 23" xfId="8426"/>
    <cellStyle name="Normal 2 3 24" xfId="8427"/>
    <cellStyle name="Normal 2 3 25" xfId="8428"/>
    <cellStyle name="Normal 2 3 26" xfId="8429"/>
    <cellStyle name="Normal 2 3 27" xfId="8430"/>
    <cellStyle name="Normal 2 3 28" xfId="8431"/>
    <cellStyle name="Normal 2 3 29" xfId="8432"/>
    <cellStyle name="Normal 2 3 3" xfId="8433"/>
    <cellStyle name="Normal 2 3 3 10" xfId="8434"/>
    <cellStyle name="Normal 2 3 3 10 2" xfId="8435"/>
    <cellStyle name="Normal 2 3 3 11" xfId="8436"/>
    <cellStyle name="Normal 2 3 3 11 2" xfId="8437"/>
    <cellStyle name="Normal 2 3 3 12" xfId="8438"/>
    <cellStyle name="Normal 2 3 3 12 2" xfId="8439"/>
    <cellStyle name="Normal 2 3 3 13" xfId="8440"/>
    <cellStyle name="Normal 2 3 3 13 2" xfId="8441"/>
    <cellStyle name="Normal 2 3 3 14" xfId="8442"/>
    <cellStyle name="Normal 2 3 3 14 2" xfId="8443"/>
    <cellStyle name="Normal 2 3 3 15" xfId="8444"/>
    <cellStyle name="Normal 2 3 3 15 2" xfId="8445"/>
    <cellStyle name="Normal 2 3 3 16" xfId="8446"/>
    <cellStyle name="Normal 2 3 3 16 2" xfId="8447"/>
    <cellStyle name="Normal 2 3 3 17" xfId="8448"/>
    <cellStyle name="Normal 2 3 3 17 2" xfId="8449"/>
    <cellStyle name="Normal 2 3 3 18" xfId="8450"/>
    <cellStyle name="Normal 2 3 3 18 2" xfId="8451"/>
    <cellStyle name="Normal 2 3 3 19" xfId="8452"/>
    <cellStyle name="Normal 2 3 3 19 2" xfId="8453"/>
    <cellStyle name="Normal 2 3 3 2" xfId="8454"/>
    <cellStyle name="Normal 2 3 3 2 10" xfId="8455"/>
    <cellStyle name="Normal 2 3 3 2 11" xfId="8456"/>
    <cellStyle name="Normal 2 3 3 2 12" xfId="8457"/>
    <cellStyle name="Normal 2 3 3 2 13" xfId="8458"/>
    <cellStyle name="Normal 2 3 3 2 14" xfId="8459"/>
    <cellStyle name="Normal 2 3 3 2 15" xfId="8460"/>
    <cellStyle name="Normal 2 3 3 2 16" xfId="8461"/>
    <cellStyle name="Normal 2 3 3 2 17" xfId="8462"/>
    <cellStyle name="Normal 2 3 3 2 18" xfId="8463"/>
    <cellStyle name="Normal 2 3 3 2 19" xfId="8464"/>
    <cellStyle name="Normal 2 3 3 2 2" xfId="8465"/>
    <cellStyle name="Normal 2 3 3 2 20" xfId="8466"/>
    <cellStyle name="Normal 2 3 3 2 21" xfId="8467"/>
    <cellStyle name="Normal 2 3 3 2 22" xfId="8468"/>
    <cellStyle name="Normal 2 3 3 2 23" xfId="8469"/>
    <cellStyle name="Normal 2 3 3 2 24" xfId="8470"/>
    <cellStyle name="Normal 2 3 3 2 25" xfId="8471"/>
    <cellStyle name="Normal 2 3 3 2 3" xfId="8472"/>
    <cellStyle name="Normal 2 3 3 2 4" xfId="8473"/>
    <cellStyle name="Normal 2 3 3 2 5" xfId="8474"/>
    <cellStyle name="Normal 2 3 3 2 6" xfId="8475"/>
    <cellStyle name="Normal 2 3 3 2 7" xfId="8476"/>
    <cellStyle name="Normal 2 3 3 2 8" xfId="8477"/>
    <cellStyle name="Normal 2 3 3 2 9" xfId="8478"/>
    <cellStyle name="Normal 2 3 3 20" xfId="8479"/>
    <cellStyle name="Normal 2 3 3 20 2" xfId="8480"/>
    <cellStyle name="Normal 2 3 3 21" xfId="8481"/>
    <cellStyle name="Normal 2 3 3 21 2" xfId="8482"/>
    <cellStyle name="Normal 2 3 3 22" xfId="8483"/>
    <cellStyle name="Normal 2 3 3 22 2" xfId="8484"/>
    <cellStyle name="Normal 2 3 3 23" xfId="8485"/>
    <cellStyle name="Normal 2 3 3 23 2" xfId="8486"/>
    <cellStyle name="Normal 2 3 3 3" xfId="8487"/>
    <cellStyle name="Normal 2 3 3 3 2" xfId="8488"/>
    <cellStyle name="Normal 2 3 3 4" xfId="8489"/>
    <cellStyle name="Normal 2 3 3 4 2" xfId="8490"/>
    <cellStyle name="Normal 2 3 3 5" xfId="8491"/>
    <cellStyle name="Normal 2 3 3 5 2" xfId="8492"/>
    <cellStyle name="Normal 2 3 3 6" xfId="8493"/>
    <cellStyle name="Normal 2 3 3 6 2" xfId="8494"/>
    <cellStyle name="Normal 2 3 3 7" xfId="8495"/>
    <cellStyle name="Normal 2 3 3 7 2" xfId="8496"/>
    <cellStyle name="Normal 2 3 3 8" xfId="8497"/>
    <cellStyle name="Normal 2 3 3 8 2" xfId="8498"/>
    <cellStyle name="Normal 2 3 3 9" xfId="8499"/>
    <cellStyle name="Normal 2 3 3 9 2" xfId="8500"/>
    <cellStyle name="Normal 2 3 30" xfId="8501"/>
    <cellStyle name="Normal 2 3 31" xfId="8502"/>
    <cellStyle name="Normal 2 3 32" xfId="8503"/>
    <cellStyle name="Normal 2 3 4" xfId="8504"/>
    <cellStyle name="Normal 2 3 5" xfId="8505"/>
    <cellStyle name="Normal 2 3 6" xfId="8506"/>
    <cellStyle name="Normal 2 3 7" xfId="8507"/>
    <cellStyle name="Normal 2 3 8" xfId="8508"/>
    <cellStyle name="Normal 2 3 9" xfId="8509"/>
    <cellStyle name="Normal 2 30" xfId="8510"/>
    <cellStyle name="Normal 2 30 2" xfId="8511"/>
    <cellStyle name="Normal 2 30 3" xfId="8512"/>
    <cellStyle name="Normal 2 31" xfId="8513"/>
    <cellStyle name="Normal 2 31 2" xfId="8514"/>
    <cellStyle name="Normal 2 32" xfId="8515"/>
    <cellStyle name="Normal 2 32 10" xfId="8516"/>
    <cellStyle name="Normal 2 32 10 2" xfId="8517"/>
    <cellStyle name="Normal 2 32 10 2 2" xfId="8518"/>
    <cellStyle name="Normal 2 32 10 3" xfId="8519"/>
    <cellStyle name="Normal 2 32 11" xfId="8520"/>
    <cellStyle name="Normal 2 32 11 2" xfId="8521"/>
    <cellStyle name="Normal 2 32 11 2 2" xfId="8522"/>
    <cellStyle name="Normal 2 32 11 3" xfId="8523"/>
    <cellStyle name="Normal 2 32 12" xfId="8524"/>
    <cellStyle name="Normal 2 32 12 2" xfId="8525"/>
    <cellStyle name="Normal 2 32 13" xfId="8526"/>
    <cellStyle name="Normal 2 32 2" xfId="8527"/>
    <cellStyle name="Normal 2 32 2 10" xfId="8528"/>
    <cellStyle name="Normal 2 32 2 10 2" xfId="8529"/>
    <cellStyle name="Normal 2 32 2 11" xfId="8530"/>
    <cellStyle name="Normal 2 32 2 2" xfId="8531"/>
    <cellStyle name="Normal 2 32 2 2 2" xfId="8532"/>
    <cellStyle name="Normal 2 32 2 2 2 2" xfId="8533"/>
    <cellStyle name="Normal 2 32 2 2 2 2 2" xfId="8534"/>
    <cellStyle name="Normal 2 32 2 2 2 2 2 2" xfId="8535"/>
    <cellStyle name="Normal 2 32 2 2 2 2 3" xfId="8536"/>
    <cellStyle name="Normal 2 32 2 2 2 3" xfId="8537"/>
    <cellStyle name="Normal 2 32 2 2 2 3 2" xfId="8538"/>
    <cellStyle name="Normal 2 32 2 2 2 3 2 2" xfId="8539"/>
    <cellStyle name="Normal 2 32 2 2 2 3 3" xfId="8540"/>
    <cellStyle name="Normal 2 32 2 2 2 4" xfId="8541"/>
    <cellStyle name="Normal 2 32 2 2 2 4 2" xfId="8542"/>
    <cellStyle name="Normal 2 32 2 2 2 5" xfId="8543"/>
    <cellStyle name="Normal 2 32 2 2 3" xfId="8544"/>
    <cellStyle name="Normal 2 32 2 2 3 2" xfId="8545"/>
    <cellStyle name="Normal 2 32 2 2 3 2 2" xfId="8546"/>
    <cellStyle name="Normal 2 32 2 2 3 2 2 2" xfId="8547"/>
    <cellStyle name="Normal 2 32 2 2 3 2 3" xfId="8548"/>
    <cellStyle name="Normal 2 32 2 2 3 3" xfId="8549"/>
    <cellStyle name="Normal 2 32 2 2 3 3 2" xfId="8550"/>
    <cellStyle name="Normal 2 32 2 2 3 3 2 2" xfId="8551"/>
    <cellStyle name="Normal 2 32 2 2 3 3 3" xfId="8552"/>
    <cellStyle name="Normal 2 32 2 2 3 4" xfId="8553"/>
    <cellStyle name="Normal 2 32 2 2 3 4 2" xfId="8554"/>
    <cellStyle name="Normal 2 32 2 2 3 5" xfId="8555"/>
    <cellStyle name="Normal 2 32 2 2 4" xfId="8556"/>
    <cellStyle name="Normal 2 32 2 2 4 2" xfId="8557"/>
    <cellStyle name="Normal 2 32 2 2 4 2 2" xfId="8558"/>
    <cellStyle name="Normal 2 32 2 2 4 2 2 2" xfId="8559"/>
    <cellStyle name="Normal 2 32 2 2 4 2 3" xfId="8560"/>
    <cellStyle name="Normal 2 32 2 2 4 3" xfId="8561"/>
    <cellStyle name="Normal 2 32 2 2 4 3 2" xfId="8562"/>
    <cellStyle name="Normal 2 32 2 2 4 3 2 2" xfId="8563"/>
    <cellStyle name="Normal 2 32 2 2 4 3 3" xfId="8564"/>
    <cellStyle name="Normal 2 32 2 2 4 4" xfId="8565"/>
    <cellStyle name="Normal 2 32 2 2 4 4 2" xfId="8566"/>
    <cellStyle name="Normal 2 32 2 2 4 5" xfId="8567"/>
    <cellStyle name="Normal 2 32 2 2 5" xfId="8568"/>
    <cellStyle name="Normal 2 32 2 2 5 2" xfId="8569"/>
    <cellStyle name="Normal 2 32 2 2 5 2 2" xfId="8570"/>
    <cellStyle name="Normal 2 32 2 2 5 3" xfId="8571"/>
    <cellStyle name="Normal 2 32 2 2 6" xfId="8572"/>
    <cellStyle name="Normal 2 32 2 2 6 2" xfId="8573"/>
    <cellStyle name="Normal 2 32 2 2 6 2 2" xfId="8574"/>
    <cellStyle name="Normal 2 32 2 2 6 3" xfId="8575"/>
    <cellStyle name="Normal 2 32 2 2 7" xfId="8576"/>
    <cellStyle name="Normal 2 32 2 2 7 2" xfId="8577"/>
    <cellStyle name="Normal 2 32 2 2 8" xfId="8578"/>
    <cellStyle name="Normal 2 32 2 3" xfId="8579"/>
    <cellStyle name="Normal 2 32 2 3 2" xfId="8580"/>
    <cellStyle name="Normal 2 32 2 3 2 2" xfId="8581"/>
    <cellStyle name="Normal 2 32 2 3 2 2 2" xfId="8582"/>
    <cellStyle name="Normal 2 32 2 3 2 3" xfId="8583"/>
    <cellStyle name="Normal 2 32 2 3 3" xfId="8584"/>
    <cellStyle name="Normal 2 32 2 3 3 2" xfId="8585"/>
    <cellStyle name="Normal 2 32 2 3 3 2 2" xfId="8586"/>
    <cellStyle name="Normal 2 32 2 3 3 3" xfId="8587"/>
    <cellStyle name="Normal 2 32 2 3 4" xfId="8588"/>
    <cellStyle name="Normal 2 32 2 3 4 2" xfId="8589"/>
    <cellStyle name="Normal 2 32 2 3 5" xfId="8590"/>
    <cellStyle name="Normal 2 32 2 4" xfId="8591"/>
    <cellStyle name="Normal 2 32 2 4 2" xfId="8592"/>
    <cellStyle name="Normal 2 32 2 4 2 2" xfId="8593"/>
    <cellStyle name="Normal 2 32 2 4 2 2 2" xfId="8594"/>
    <cellStyle name="Normal 2 32 2 4 2 3" xfId="8595"/>
    <cellStyle name="Normal 2 32 2 4 3" xfId="8596"/>
    <cellStyle name="Normal 2 32 2 4 3 2" xfId="8597"/>
    <cellStyle name="Normal 2 32 2 4 3 2 2" xfId="8598"/>
    <cellStyle name="Normal 2 32 2 4 3 3" xfId="8599"/>
    <cellStyle name="Normal 2 32 2 4 4" xfId="8600"/>
    <cellStyle name="Normal 2 32 2 4 4 2" xfId="8601"/>
    <cellStyle name="Normal 2 32 2 4 5" xfId="8602"/>
    <cellStyle name="Normal 2 32 2 5" xfId="8603"/>
    <cellStyle name="Normal 2 32 2 5 2" xfId="8604"/>
    <cellStyle name="Normal 2 32 2 5 2 2" xfId="8605"/>
    <cellStyle name="Normal 2 32 2 5 2 2 2" xfId="8606"/>
    <cellStyle name="Normal 2 32 2 5 2 3" xfId="8607"/>
    <cellStyle name="Normal 2 32 2 5 3" xfId="8608"/>
    <cellStyle name="Normal 2 32 2 5 3 2" xfId="8609"/>
    <cellStyle name="Normal 2 32 2 5 3 2 2" xfId="8610"/>
    <cellStyle name="Normal 2 32 2 5 3 3" xfId="8611"/>
    <cellStyle name="Normal 2 32 2 5 4" xfId="8612"/>
    <cellStyle name="Normal 2 32 2 5 4 2" xfId="8613"/>
    <cellStyle name="Normal 2 32 2 5 5" xfId="8614"/>
    <cellStyle name="Normal 2 32 2 6" xfId="8615"/>
    <cellStyle name="Normal 2 32 2 6 2" xfId="8616"/>
    <cellStyle name="Normal 2 32 2 6 2 2" xfId="8617"/>
    <cellStyle name="Normal 2 32 2 6 3" xfId="8618"/>
    <cellStyle name="Normal 2 32 2 7" xfId="8619"/>
    <cellStyle name="Normal 2 32 2 7 2" xfId="8620"/>
    <cellStyle name="Normal 2 32 2 7 2 2" xfId="8621"/>
    <cellStyle name="Normal 2 32 2 7 3" xfId="8622"/>
    <cellStyle name="Normal 2 32 2 8" xfId="8623"/>
    <cellStyle name="Normal 2 32 2 8 2" xfId="8624"/>
    <cellStyle name="Normal 2 32 2 8 2 2" xfId="8625"/>
    <cellStyle name="Normal 2 32 2 8 3" xfId="8626"/>
    <cellStyle name="Normal 2 32 2 9" xfId="8627"/>
    <cellStyle name="Normal 2 32 2 9 2" xfId="8628"/>
    <cellStyle name="Normal 2 32 2 9 2 2" xfId="8629"/>
    <cellStyle name="Normal 2 32 2 9 3" xfId="8630"/>
    <cellStyle name="Normal 2 32 3" xfId="8631"/>
    <cellStyle name="Normal 2 32 3 10" xfId="8632"/>
    <cellStyle name="Normal 2 32 3 10 2" xfId="8633"/>
    <cellStyle name="Normal 2 32 3 11" xfId="8634"/>
    <cellStyle name="Normal 2 32 3 2" xfId="8635"/>
    <cellStyle name="Normal 2 32 3 2 2" xfId="8636"/>
    <cellStyle name="Normal 2 32 3 2 2 2" xfId="8637"/>
    <cellStyle name="Normal 2 32 3 2 2 2 2" xfId="8638"/>
    <cellStyle name="Normal 2 32 3 2 2 2 2 2" xfId="8639"/>
    <cellStyle name="Normal 2 32 3 2 2 2 3" xfId="8640"/>
    <cellStyle name="Normal 2 32 3 2 2 3" xfId="8641"/>
    <cellStyle name="Normal 2 32 3 2 2 3 2" xfId="8642"/>
    <cellStyle name="Normal 2 32 3 2 2 3 2 2" xfId="8643"/>
    <cellStyle name="Normal 2 32 3 2 2 3 3" xfId="8644"/>
    <cellStyle name="Normal 2 32 3 2 2 4" xfId="8645"/>
    <cellStyle name="Normal 2 32 3 2 2 4 2" xfId="8646"/>
    <cellStyle name="Normal 2 32 3 2 2 5" xfId="8647"/>
    <cellStyle name="Normal 2 32 3 2 3" xfId="8648"/>
    <cellStyle name="Normal 2 32 3 2 3 2" xfId="8649"/>
    <cellStyle name="Normal 2 32 3 2 3 2 2" xfId="8650"/>
    <cellStyle name="Normal 2 32 3 2 3 2 2 2" xfId="8651"/>
    <cellStyle name="Normal 2 32 3 2 3 2 3" xfId="8652"/>
    <cellStyle name="Normal 2 32 3 2 3 3" xfId="8653"/>
    <cellStyle name="Normal 2 32 3 2 3 3 2" xfId="8654"/>
    <cellStyle name="Normal 2 32 3 2 3 3 2 2" xfId="8655"/>
    <cellStyle name="Normal 2 32 3 2 3 3 3" xfId="8656"/>
    <cellStyle name="Normal 2 32 3 2 3 4" xfId="8657"/>
    <cellStyle name="Normal 2 32 3 2 3 4 2" xfId="8658"/>
    <cellStyle name="Normal 2 32 3 2 3 5" xfId="8659"/>
    <cellStyle name="Normal 2 32 3 2 4" xfId="8660"/>
    <cellStyle name="Normal 2 32 3 2 4 2" xfId="8661"/>
    <cellStyle name="Normal 2 32 3 2 4 2 2" xfId="8662"/>
    <cellStyle name="Normal 2 32 3 2 4 2 2 2" xfId="8663"/>
    <cellStyle name="Normal 2 32 3 2 4 2 3" xfId="8664"/>
    <cellStyle name="Normal 2 32 3 2 4 3" xfId="8665"/>
    <cellStyle name="Normal 2 32 3 2 4 3 2" xfId="8666"/>
    <cellStyle name="Normal 2 32 3 2 4 3 2 2" xfId="8667"/>
    <cellStyle name="Normal 2 32 3 2 4 3 3" xfId="8668"/>
    <cellStyle name="Normal 2 32 3 2 4 4" xfId="8669"/>
    <cellStyle name="Normal 2 32 3 2 4 4 2" xfId="8670"/>
    <cellStyle name="Normal 2 32 3 2 4 5" xfId="8671"/>
    <cellStyle name="Normal 2 32 3 2 5" xfId="8672"/>
    <cellStyle name="Normal 2 32 3 2 5 2" xfId="8673"/>
    <cellStyle name="Normal 2 32 3 2 5 2 2" xfId="8674"/>
    <cellStyle name="Normal 2 32 3 2 5 3" xfId="8675"/>
    <cellStyle name="Normal 2 32 3 2 6" xfId="8676"/>
    <cellStyle name="Normal 2 32 3 2 6 2" xfId="8677"/>
    <cellStyle name="Normal 2 32 3 2 6 2 2" xfId="8678"/>
    <cellStyle name="Normal 2 32 3 2 6 3" xfId="8679"/>
    <cellStyle name="Normal 2 32 3 2 7" xfId="8680"/>
    <cellStyle name="Normal 2 32 3 2 7 2" xfId="8681"/>
    <cellStyle name="Normal 2 32 3 2 8" xfId="8682"/>
    <cellStyle name="Normal 2 32 3 3" xfId="8683"/>
    <cellStyle name="Normal 2 32 3 3 2" xfId="8684"/>
    <cellStyle name="Normal 2 32 3 3 2 2" xfId="8685"/>
    <cellStyle name="Normal 2 32 3 3 2 2 2" xfId="8686"/>
    <cellStyle name="Normal 2 32 3 3 2 3" xfId="8687"/>
    <cellStyle name="Normal 2 32 3 3 3" xfId="8688"/>
    <cellStyle name="Normal 2 32 3 3 3 2" xfId="8689"/>
    <cellStyle name="Normal 2 32 3 3 3 2 2" xfId="8690"/>
    <cellStyle name="Normal 2 32 3 3 3 3" xfId="8691"/>
    <cellStyle name="Normal 2 32 3 3 4" xfId="8692"/>
    <cellStyle name="Normal 2 32 3 3 4 2" xfId="8693"/>
    <cellStyle name="Normal 2 32 3 3 5" xfId="8694"/>
    <cellStyle name="Normal 2 32 3 4" xfId="8695"/>
    <cellStyle name="Normal 2 32 3 4 2" xfId="8696"/>
    <cellStyle name="Normal 2 32 3 4 2 2" xfId="8697"/>
    <cellStyle name="Normal 2 32 3 4 2 2 2" xfId="8698"/>
    <cellStyle name="Normal 2 32 3 4 2 3" xfId="8699"/>
    <cellStyle name="Normal 2 32 3 4 3" xfId="8700"/>
    <cellStyle name="Normal 2 32 3 4 3 2" xfId="8701"/>
    <cellStyle name="Normal 2 32 3 4 3 2 2" xfId="8702"/>
    <cellStyle name="Normal 2 32 3 4 3 3" xfId="8703"/>
    <cellStyle name="Normal 2 32 3 4 4" xfId="8704"/>
    <cellStyle name="Normal 2 32 3 4 4 2" xfId="8705"/>
    <cellStyle name="Normal 2 32 3 4 5" xfId="8706"/>
    <cellStyle name="Normal 2 32 3 5" xfId="8707"/>
    <cellStyle name="Normal 2 32 3 5 2" xfId="8708"/>
    <cellStyle name="Normal 2 32 3 5 2 2" xfId="8709"/>
    <cellStyle name="Normal 2 32 3 5 2 2 2" xfId="8710"/>
    <cellStyle name="Normal 2 32 3 5 2 3" xfId="8711"/>
    <cellStyle name="Normal 2 32 3 5 3" xfId="8712"/>
    <cellStyle name="Normal 2 32 3 5 3 2" xfId="8713"/>
    <cellStyle name="Normal 2 32 3 5 3 2 2" xfId="8714"/>
    <cellStyle name="Normal 2 32 3 5 3 3" xfId="8715"/>
    <cellStyle name="Normal 2 32 3 5 4" xfId="8716"/>
    <cellStyle name="Normal 2 32 3 5 4 2" xfId="8717"/>
    <cellStyle name="Normal 2 32 3 5 5" xfId="8718"/>
    <cellStyle name="Normal 2 32 3 6" xfId="8719"/>
    <cellStyle name="Normal 2 32 3 6 2" xfId="8720"/>
    <cellStyle name="Normal 2 32 3 6 2 2" xfId="8721"/>
    <cellStyle name="Normal 2 32 3 6 3" xfId="8722"/>
    <cellStyle name="Normal 2 32 3 7" xfId="8723"/>
    <cellStyle name="Normal 2 32 3 7 2" xfId="8724"/>
    <cellStyle name="Normal 2 32 3 7 2 2" xfId="8725"/>
    <cellStyle name="Normal 2 32 3 7 3" xfId="8726"/>
    <cellStyle name="Normal 2 32 3 8" xfId="8727"/>
    <cellStyle name="Normal 2 32 3 8 2" xfId="8728"/>
    <cellStyle name="Normal 2 32 3 8 2 2" xfId="8729"/>
    <cellStyle name="Normal 2 32 3 8 3" xfId="8730"/>
    <cellStyle name="Normal 2 32 3 9" xfId="8731"/>
    <cellStyle name="Normal 2 32 3 9 2" xfId="8732"/>
    <cellStyle name="Normal 2 32 3 9 2 2" xfId="8733"/>
    <cellStyle name="Normal 2 32 3 9 3" xfId="8734"/>
    <cellStyle name="Normal 2 32 4" xfId="8735"/>
    <cellStyle name="Normal 2 32 4 2" xfId="8736"/>
    <cellStyle name="Normal 2 32 4 2 2" xfId="8737"/>
    <cellStyle name="Normal 2 32 4 2 2 2" xfId="8738"/>
    <cellStyle name="Normal 2 32 4 2 2 2 2" xfId="8739"/>
    <cellStyle name="Normal 2 32 4 2 2 3" xfId="8740"/>
    <cellStyle name="Normal 2 32 4 2 3" xfId="8741"/>
    <cellStyle name="Normal 2 32 4 2 3 2" xfId="8742"/>
    <cellStyle name="Normal 2 32 4 2 3 2 2" xfId="8743"/>
    <cellStyle name="Normal 2 32 4 2 3 3" xfId="8744"/>
    <cellStyle name="Normal 2 32 4 2 4" xfId="8745"/>
    <cellStyle name="Normal 2 32 4 2 4 2" xfId="8746"/>
    <cellStyle name="Normal 2 32 4 2 5" xfId="8747"/>
    <cellStyle name="Normal 2 32 4 3" xfId="8748"/>
    <cellStyle name="Normal 2 32 4 3 2" xfId="8749"/>
    <cellStyle name="Normal 2 32 4 3 2 2" xfId="8750"/>
    <cellStyle name="Normal 2 32 4 3 2 2 2" xfId="8751"/>
    <cellStyle name="Normal 2 32 4 3 2 3" xfId="8752"/>
    <cellStyle name="Normal 2 32 4 3 3" xfId="8753"/>
    <cellStyle name="Normal 2 32 4 3 3 2" xfId="8754"/>
    <cellStyle name="Normal 2 32 4 3 3 2 2" xfId="8755"/>
    <cellStyle name="Normal 2 32 4 3 3 3" xfId="8756"/>
    <cellStyle name="Normal 2 32 4 3 4" xfId="8757"/>
    <cellStyle name="Normal 2 32 4 3 4 2" xfId="8758"/>
    <cellStyle name="Normal 2 32 4 3 5" xfId="8759"/>
    <cellStyle name="Normal 2 32 4 4" xfId="8760"/>
    <cellStyle name="Normal 2 32 4 4 2" xfId="8761"/>
    <cellStyle name="Normal 2 32 4 4 2 2" xfId="8762"/>
    <cellStyle name="Normal 2 32 4 4 2 2 2" xfId="8763"/>
    <cellStyle name="Normal 2 32 4 4 2 3" xfId="8764"/>
    <cellStyle name="Normal 2 32 4 4 3" xfId="8765"/>
    <cellStyle name="Normal 2 32 4 4 3 2" xfId="8766"/>
    <cellStyle name="Normal 2 32 4 4 3 2 2" xfId="8767"/>
    <cellStyle name="Normal 2 32 4 4 3 3" xfId="8768"/>
    <cellStyle name="Normal 2 32 4 4 4" xfId="8769"/>
    <cellStyle name="Normal 2 32 4 4 4 2" xfId="8770"/>
    <cellStyle name="Normal 2 32 4 4 5" xfId="8771"/>
    <cellStyle name="Normal 2 32 4 5" xfId="8772"/>
    <cellStyle name="Normal 2 32 4 5 2" xfId="8773"/>
    <cellStyle name="Normal 2 32 4 5 2 2" xfId="8774"/>
    <cellStyle name="Normal 2 32 4 5 3" xfId="8775"/>
    <cellStyle name="Normal 2 32 4 6" xfId="8776"/>
    <cellStyle name="Normal 2 32 4 6 2" xfId="8777"/>
    <cellStyle name="Normal 2 32 4 6 2 2" xfId="8778"/>
    <cellStyle name="Normal 2 32 4 6 3" xfId="8779"/>
    <cellStyle name="Normal 2 32 4 7" xfId="8780"/>
    <cellStyle name="Normal 2 32 4 7 2" xfId="8781"/>
    <cellStyle name="Normal 2 32 4 8" xfId="8782"/>
    <cellStyle name="Normal 2 32 5" xfId="8783"/>
    <cellStyle name="Normal 2 32 5 2" xfId="8784"/>
    <cellStyle name="Normal 2 32 5 3" xfId="8785"/>
    <cellStyle name="Normal 2 32 5 3 2" xfId="8786"/>
    <cellStyle name="Normal 2 32 5 3 2 2" xfId="8787"/>
    <cellStyle name="Normal 2 32 5 3 3" xfId="8788"/>
    <cellStyle name="Normal 2 32 5 4" xfId="8789"/>
    <cellStyle name="Normal 2 32 5 4 2" xfId="8790"/>
    <cellStyle name="Normal 2 32 5 4 2 2" xfId="8791"/>
    <cellStyle name="Normal 2 32 5 4 3" xfId="8792"/>
    <cellStyle name="Normal 2 32 5 5" xfId="8793"/>
    <cellStyle name="Normal 2 32 5 5 2" xfId="8794"/>
    <cellStyle name="Normal 2 32 5 6" xfId="8795"/>
    <cellStyle name="Normal 2 32 6" xfId="8796"/>
    <cellStyle name="Normal 2 32 6 2" xfId="8797"/>
    <cellStyle name="Normal 2 32 6 2 2" xfId="8798"/>
    <cellStyle name="Normal 2 32 6 2 2 2" xfId="8799"/>
    <cellStyle name="Normal 2 32 6 2 3" xfId="8800"/>
    <cellStyle name="Normal 2 32 6 3" xfId="8801"/>
    <cellStyle name="Normal 2 32 6 3 2" xfId="8802"/>
    <cellStyle name="Normal 2 32 6 3 2 2" xfId="8803"/>
    <cellStyle name="Normal 2 32 6 3 3" xfId="8804"/>
    <cellStyle name="Normal 2 32 6 4" xfId="8805"/>
    <cellStyle name="Normal 2 32 6 4 2" xfId="8806"/>
    <cellStyle name="Normal 2 32 6 5" xfId="8807"/>
    <cellStyle name="Normal 2 32 7" xfId="8808"/>
    <cellStyle name="Normal 2 32 7 2" xfId="8809"/>
    <cellStyle name="Normal 2 32 7 2 2" xfId="8810"/>
    <cellStyle name="Normal 2 32 7 2 2 2" xfId="8811"/>
    <cellStyle name="Normal 2 32 7 2 3" xfId="8812"/>
    <cellStyle name="Normal 2 32 7 3" xfId="8813"/>
    <cellStyle name="Normal 2 32 7 3 2" xfId="8814"/>
    <cellStyle name="Normal 2 32 7 3 2 2" xfId="8815"/>
    <cellStyle name="Normal 2 32 7 3 3" xfId="8816"/>
    <cellStyle name="Normal 2 32 7 4" xfId="8817"/>
    <cellStyle name="Normal 2 32 7 4 2" xfId="8818"/>
    <cellStyle name="Normal 2 32 7 5" xfId="8819"/>
    <cellStyle name="Normal 2 32 8" xfId="8820"/>
    <cellStyle name="Normal 2 32 8 2" xfId="8821"/>
    <cellStyle name="Normal 2 32 8 2 2" xfId="8822"/>
    <cellStyle name="Normal 2 32 8 3" xfId="8823"/>
    <cellStyle name="Normal 2 32 9" xfId="8824"/>
    <cellStyle name="Normal 2 32 9 2" xfId="8825"/>
    <cellStyle name="Normal 2 32 9 2 2" xfId="8826"/>
    <cellStyle name="Normal 2 32 9 3" xfId="8827"/>
    <cellStyle name="Normal 2 33" xfId="8828"/>
    <cellStyle name="Normal 2 33 10" xfId="8829"/>
    <cellStyle name="Normal 2 33 10 2" xfId="8830"/>
    <cellStyle name="Normal 2 33 10 2 2" xfId="8831"/>
    <cellStyle name="Normal 2 33 10 3" xfId="8832"/>
    <cellStyle name="Normal 2 33 11" xfId="8833"/>
    <cellStyle name="Normal 2 33 11 2" xfId="8834"/>
    <cellStyle name="Normal 2 33 11 2 2" xfId="8835"/>
    <cellStyle name="Normal 2 33 11 3" xfId="8836"/>
    <cellStyle name="Normal 2 33 12" xfId="8837"/>
    <cellStyle name="Normal 2 33 12 2" xfId="8838"/>
    <cellStyle name="Normal 2 33 13" xfId="8839"/>
    <cellStyle name="Normal 2 33 2" xfId="8840"/>
    <cellStyle name="Normal 2 33 2 10" xfId="8841"/>
    <cellStyle name="Normal 2 33 2 10 2" xfId="8842"/>
    <cellStyle name="Normal 2 33 2 11" xfId="8843"/>
    <cellStyle name="Normal 2 33 2 2" xfId="8844"/>
    <cellStyle name="Normal 2 33 2 2 2" xfId="8845"/>
    <cellStyle name="Normal 2 33 2 2 2 2" xfId="8846"/>
    <cellStyle name="Normal 2 33 2 2 2 2 2" xfId="8847"/>
    <cellStyle name="Normal 2 33 2 2 2 2 2 2" xfId="8848"/>
    <cellStyle name="Normal 2 33 2 2 2 2 3" xfId="8849"/>
    <cellStyle name="Normal 2 33 2 2 2 3" xfId="8850"/>
    <cellStyle name="Normal 2 33 2 2 2 3 2" xfId="8851"/>
    <cellStyle name="Normal 2 33 2 2 2 3 2 2" xfId="8852"/>
    <cellStyle name="Normal 2 33 2 2 2 3 3" xfId="8853"/>
    <cellStyle name="Normal 2 33 2 2 2 4" xfId="8854"/>
    <cellStyle name="Normal 2 33 2 2 2 4 2" xfId="8855"/>
    <cellStyle name="Normal 2 33 2 2 2 5" xfId="8856"/>
    <cellStyle name="Normal 2 33 2 2 3" xfId="8857"/>
    <cellStyle name="Normal 2 33 2 2 3 2" xfId="8858"/>
    <cellStyle name="Normal 2 33 2 2 3 2 2" xfId="8859"/>
    <cellStyle name="Normal 2 33 2 2 3 2 2 2" xfId="8860"/>
    <cellStyle name="Normal 2 33 2 2 3 2 3" xfId="8861"/>
    <cellStyle name="Normal 2 33 2 2 3 3" xfId="8862"/>
    <cellStyle name="Normal 2 33 2 2 3 3 2" xfId="8863"/>
    <cellStyle name="Normal 2 33 2 2 3 3 2 2" xfId="8864"/>
    <cellStyle name="Normal 2 33 2 2 3 3 3" xfId="8865"/>
    <cellStyle name="Normal 2 33 2 2 3 4" xfId="8866"/>
    <cellStyle name="Normal 2 33 2 2 3 4 2" xfId="8867"/>
    <cellStyle name="Normal 2 33 2 2 3 5" xfId="8868"/>
    <cellStyle name="Normal 2 33 2 2 4" xfId="8869"/>
    <cellStyle name="Normal 2 33 2 2 4 2" xfId="8870"/>
    <cellStyle name="Normal 2 33 2 2 4 2 2" xfId="8871"/>
    <cellStyle name="Normal 2 33 2 2 4 2 2 2" xfId="8872"/>
    <cellStyle name="Normal 2 33 2 2 4 2 3" xfId="8873"/>
    <cellStyle name="Normal 2 33 2 2 4 3" xfId="8874"/>
    <cellStyle name="Normal 2 33 2 2 4 3 2" xfId="8875"/>
    <cellStyle name="Normal 2 33 2 2 4 3 2 2" xfId="8876"/>
    <cellStyle name="Normal 2 33 2 2 4 3 3" xfId="8877"/>
    <cellStyle name="Normal 2 33 2 2 4 4" xfId="8878"/>
    <cellStyle name="Normal 2 33 2 2 4 4 2" xfId="8879"/>
    <cellStyle name="Normal 2 33 2 2 4 5" xfId="8880"/>
    <cellStyle name="Normal 2 33 2 2 5" xfId="8881"/>
    <cellStyle name="Normal 2 33 2 2 5 2" xfId="8882"/>
    <cellStyle name="Normal 2 33 2 2 5 2 2" xfId="8883"/>
    <cellStyle name="Normal 2 33 2 2 5 3" xfId="8884"/>
    <cellStyle name="Normal 2 33 2 2 6" xfId="8885"/>
    <cellStyle name="Normal 2 33 2 2 6 2" xfId="8886"/>
    <cellStyle name="Normal 2 33 2 2 6 2 2" xfId="8887"/>
    <cellStyle name="Normal 2 33 2 2 6 3" xfId="8888"/>
    <cellStyle name="Normal 2 33 2 2 7" xfId="8889"/>
    <cellStyle name="Normal 2 33 2 2 7 2" xfId="8890"/>
    <cellStyle name="Normal 2 33 2 2 8" xfId="8891"/>
    <cellStyle name="Normal 2 33 2 3" xfId="8892"/>
    <cellStyle name="Normal 2 33 2 3 2" xfId="8893"/>
    <cellStyle name="Normal 2 33 2 3 2 2" xfId="8894"/>
    <cellStyle name="Normal 2 33 2 3 2 2 2" xfId="8895"/>
    <cellStyle name="Normal 2 33 2 3 2 3" xfId="8896"/>
    <cellStyle name="Normal 2 33 2 3 3" xfId="8897"/>
    <cellStyle name="Normal 2 33 2 3 3 2" xfId="8898"/>
    <cellStyle name="Normal 2 33 2 3 3 2 2" xfId="8899"/>
    <cellStyle name="Normal 2 33 2 3 3 3" xfId="8900"/>
    <cellStyle name="Normal 2 33 2 3 4" xfId="8901"/>
    <cellStyle name="Normal 2 33 2 3 4 2" xfId="8902"/>
    <cellStyle name="Normal 2 33 2 3 5" xfId="8903"/>
    <cellStyle name="Normal 2 33 2 4" xfId="8904"/>
    <cellStyle name="Normal 2 33 2 4 2" xfId="8905"/>
    <cellStyle name="Normal 2 33 2 4 2 2" xfId="8906"/>
    <cellStyle name="Normal 2 33 2 4 2 2 2" xfId="8907"/>
    <cellStyle name="Normal 2 33 2 4 2 3" xfId="8908"/>
    <cellStyle name="Normal 2 33 2 4 3" xfId="8909"/>
    <cellStyle name="Normal 2 33 2 4 3 2" xfId="8910"/>
    <cellStyle name="Normal 2 33 2 4 3 2 2" xfId="8911"/>
    <cellStyle name="Normal 2 33 2 4 3 3" xfId="8912"/>
    <cellStyle name="Normal 2 33 2 4 4" xfId="8913"/>
    <cellStyle name="Normal 2 33 2 4 4 2" xfId="8914"/>
    <cellStyle name="Normal 2 33 2 4 5" xfId="8915"/>
    <cellStyle name="Normal 2 33 2 5" xfId="8916"/>
    <cellStyle name="Normal 2 33 2 5 2" xfId="8917"/>
    <cellStyle name="Normal 2 33 2 5 2 2" xfId="8918"/>
    <cellStyle name="Normal 2 33 2 5 2 2 2" xfId="8919"/>
    <cellStyle name="Normal 2 33 2 5 2 3" xfId="8920"/>
    <cellStyle name="Normal 2 33 2 5 3" xfId="8921"/>
    <cellStyle name="Normal 2 33 2 5 3 2" xfId="8922"/>
    <cellStyle name="Normal 2 33 2 5 3 2 2" xfId="8923"/>
    <cellStyle name="Normal 2 33 2 5 3 3" xfId="8924"/>
    <cellStyle name="Normal 2 33 2 5 4" xfId="8925"/>
    <cellStyle name="Normal 2 33 2 5 4 2" xfId="8926"/>
    <cellStyle name="Normal 2 33 2 5 5" xfId="8927"/>
    <cellStyle name="Normal 2 33 2 6" xfId="8928"/>
    <cellStyle name="Normal 2 33 2 6 2" xfId="8929"/>
    <cellStyle name="Normal 2 33 2 6 2 2" xfId="8930"/>
    <cellStyle name="Normal 2 33 2 6 3" xfId="8931"/>
    <cellStyle name="Normal 2 33 2 7" xfId="8932"/>
    <cellStyle name="Normal 2 33 2 7 2" xfId="8933"/>
    <cellStyle name="Normal 2 33 2 7 2 2" xfId="8934"/>
    <cellStyle name="Normal 2 33 2 7 3" xfId="8935"/>
    <cellStyle name="Normal 2 33 2 8" xfId="8936"/>
    <cellStyle name="Normal 2 33 2 8 2" xfId="8937"/>
    <cellStyle name="Normal 2 33 2 8 2 2" xfId="8938"/>
    <cellStyle name="Normal 2 33 2 8 3" xfId="8939"/>
    <cellStyle name="Normal 2 33 2 9" xfId="8940"/>
    <cellStyle name="Normal 2 33 2 9 2" xfId="8941"/>
    <cellStyle name="Normal 2 33 2 9 2 2" xfId="8942"/>
    <cellStyle name="Normal 2 33 2 9 3" xfId="8943"/>
    <cellStyle name="Normal 2 33 3" xfId="8944"/>
    <cellStyle name="Normal 2 33 3 10" xfId="8945"/>
    <cellStyle name="Normal 2 33 3 10 2" xfId="8946"/>
    <cellStyle name="Normal 2 33 3 11" xfId="8947"/>
    <cellStyle name="Normal 2 33 3 2" xfId="8948"/>
    <cellStyle name="Normal 2 33 3 2 2" xfId="8949"/>
    <cellStyle name="Normal 2 33 3 2 2 2" xfId="8950"/>
    <cellStyle name="Normal 2 33 3 2 2 2 2" xfId="8951"/>
    <cellStyle name="Normal 2 33 3 2 2 2 2 2" xfId="8952"/>
    <cellStyle name="Normal 2 33 3 2 2 2 3" xfId="8953"/>
    <cellStyle name="Normal 2 33 3 2 2 3" xfId="8954"/>
    <cellStyle name="Normal 2 33 3 2 2 3 2" xfId="8955"/>
    <cellStyle name="Normal 2 33 3 2 2 3 2 2" xfId="8956"/>
    <cellStyle name="Normal 2 33 3 2 2 3 3" xfId="8957"/>
    <cellStyle name="Normal 2 33 3 2 2 4" xfId="8958"/>
    <cellStyle name="Normal 2 33 3 2 2 4 2" xfId="8959"/>
    <cellStyle name="Normal 2 33 3 2 2 5" xfId="8960"/>
    <cellStyle name="Normal 2 33 3 2 3" xfId="8961"/>
    <cellStyle name="Normal 2 33 3 2 3 2" xfId="8962"/>
    <cellStyle name="Normal 2 33 3 2 3 2 2" xfId="8963"/>
    <cellStyle name="Normal 2 33 3 2 3 2 2 2" xfId="8964"/>
    <cellStyle name="Normal 2 33 3 2 3 2 3" xfId="8965"/>
    <cellStyle name="Normal 2 33 3 2 3 3" xfId="8966"/>
    <cellStyle name="Normal 2 33 3 2 3 3 2" xfId="8967"/>
    <cellStyle name="Normal 2 33 3 2 3 3 2 2" xfId="8968"/>
    <cellStyle name="Normal 2 33 3 2 3 3 3" xfId="8969"/>
    <cellStyle name="Normal 2 33 3 2 3 4" xfId="8970"/>
    <cellStyle name="Normal 2 33 3 2 3 4 2" xfId="8971"/>
    <cellStyle name="Normal 2 33 3 2 3 5" xfId="8972"/>
    <cellStyle name="Normal 2 33 3 2 4" xfId="8973"/>
    <cellStyle name="Normal 2 33 3 2 4 2" xfId="8974"/>
    <cellStyle name="Normal 2 33 3 2 4 2 2" xfId="8975"/>
    <cellStyle name="Normal 2 33 3 2 4 2 2 2" xfId="8976"/>
    <cellStyle name="Normal 2 33 3 2 4 2 3" xfId="8977"/>
    <cellStyle name="Normal 2 33 3 2 4 3" xfId="8978"/>
    <cellStyle name="Normal 2 33 3 2 4 3 2" xfId="8979"/>
    <cellStyle name="Normal 2 33 3 2 4 3 2 2" xfId="8980"/>
    <cellStyle name="Normal 2 33 3 2 4 3 3" xfId="8981"/>
    <cellStyle name="Normal 2 33 3 2 4 4" xfId="8982"/>
    <cellStyle name="Normal 2 33 3 2 4 4 2" xfId="8983"/>
    <cellStyle name="Normal 2 33 3 2 4 5" xfId="8984"/>
    <cellStyle name="Normal 2 33 3 2 5" xfId="8985"/>
    <cellStyle name="Normal 2 33 3 2 5 2" xfId="8986"/>
    <cellStyle name="Normal 2 33 3 2 5 2 2" xfId="8987"/>
    <cellStyle name="Normal 2 33 3 2 5 3" xfId="8988"/>
    <cellStyle name="Normal 2 33 3 2 6" xfId="8989"/>
    <cellStyle name="Normal 2 33 3 2 6 2" xfId="8990"/>
    <cellStyle name="Normal 2 33 3 2 6 2 2" xfId="8991"/>
    <cellStyle name="Normal 2 33 3 2 6 3" xfId="8992"/>
    <cellStyle name="Normal 2 33 3 2 7" xfId="8993"/>
    <cellStyle name="Normal 2 33 3 2 7 2" xfId="8994"/>
    <cellStyle name="Normal 2 33 3 2 8" xfId="8995"/>
    <cellStyle name="Normal 2 33 3 3" xfId="8996"/>
    <cellStyle name="Normal 2 33 3 3 2" xfId="8997"/>
    <cellStyle name="Normal 2 33 3 3 2 2" xfId="8998"/>
    <cellStyle name="Normal 2 33 3 3 2 2 2" xfId="8999"/>
    <cellStyle name="Normal 2 33 3 3 2 3" xfId="9000"/>
    <cellStyle name="Normal 2 33 3 3 3" xfId="9001"/>
    <cellStyle name="Normal 2 33 3 3 3 2" xfId="9002"/>
    <cellStyle name="Normal 2 33 3 3 3 2 2" xfId="9003"/>
    <cellStyle name="Normal 2 33 3 3 3 3" xfId="9004"/>
    <cellStyle name="Normal 2 33 3 3 4" xfId="9005"/>
    <cellStyle name="Normal 2 33 3 3 4 2" xfId="9006"/>
    <cellStyle name="Normal 2 33 3 3 5" xfId="9007"/>
    <cellStyle name="Normal 2 33 3 4" xfId="9008"/>
    <cellStyle name="Normal 2 33 3 4 2" xfId="9009"/>
    <cellStyle name="Normal 2 33 3 4 2 2" xfId="9010"/>
    <cellStyle name="Normal 2 33 3 4 2 2 2" xfId="9011"/>
    <cellStyle name="Normal 2 33 3 4 2 3" xfId="9012"/>
    <cellStyle name="Normal 2 33 3 4 3" xfId="9013"/>
    <cellStyle name="Normal 2 33 3 4 3 2" xfId="9014"/>
    <cellStyle name="Normal 2 33 3 4 3 2 2" xfId="9015"/>
    <cellStyle name="Normal 2 33 3 4 3 3" xfId="9016"/>
    <cellStyle name="Normal 2 33 3 4 4" xfId="9017"/>
    <cellStyle name="Normal 2 33 3 4 4 2" xfId="9018"/>
    <cellStyle name="Normal 2 33 3 4 5" xfId="9019"/>
    <cellStyle name="Normal 2 33 3 5" xfId="9020"/>
    <cellStyle name="Normal 2 33 3 5 2" xfId="9021"/>
    <cellStyle name="Normal 2 33 3 5 2 2" xfId="9022"/>
    <cellStyle name="Normal 2 33 3 5 2 2 2" xfId="9023"/>
    <cellStyle name="Normal 2 33 3 5 2 3" xfId="9024"/>
    <cellStyle name="Normal 2 33 3 5 3" xfId="9025"/>
    <cellStyle name="Normal 2 33 3 5 3 2" xfId="9026"/>
    <cellStyle name="Normal 2 33 3 5 3 2 2" xfId="9027"/>
    <cellStyle name="Normal 2 33 3 5 3 3" xfId="9028"/>
    <cellStyle name="Normal 2 33 3 5 4" xfId="9029"/>
    <cellStyle name="Normal 2 33 3 5 4 2" xfId="9030"/>
    <cellStyle name="Normal 2 33 3 5 5" xfId="9031"/>
    <cellStyle name="Normal 2 33 3 6" xfId="9032"/>
    <cellStyle name="Normal 2 33 3 6 2" xfId="9033"/>
    <cellStyle name="Normal 2 33 3 6 2 2" xfId="9034"/>
    <cellStyle name="Normal 2 33 3 6 3" xfId="9035"/>
    <cellStyle name="Normal 2 33 3 7" xfId="9036"/>
    <cellStyle name="Normal 2 33 3 7 2" xfId="9037"/>
    <cellStyle name="Normal 2 33 3 7 2 2" xfId="9038"/>
    <cellStyle name="Normal 2 33 3 7 3" xfId="9039"/>
    <cellStyle name="Normal 2 33 3 8" xfId="9040"/>
    <cellStyle name="Normal 2 33 3 8 2" xfId="9041"/>
    <cellStyle name="Normal 2 33 3 8 2 2" xfId="9042"/>
    <cellStyle name="Normal 2 33 3 8 3" xfId="9043"/>
    <cellStyle name="Normal 2 33 3 9" xfId="9044"/>
    <cellStyle name="Normal 2 33 3 9 2" xfId="9045"/>
    <cellStyle name="Normal 2 33 3 9 2 2" xfId="9046"/>
    <cellStyle name="Normal 2 33 3 9 3" xfId="9047"/>
    <cellStyle name="Normal 2 33 4" xfId="9048"/>
    <cellStyle name="Normal 2 33 4 2" xfId="9049"/>
    <cellStyle name="Normal 2 33 4 2 2" xfId="9050"/>
    <cellStyle name="Normal 2 33 4 2 2 2" xfId="9051"/>
    <cellStyle name="Normal 2 33 4 2 2 2 2" xfId="9052"/>
    <cellStyle name="Normal 2 33 4 2 2 3" xfId="9053"/>
    <cellStyle name="Normal 2 33 4 2 3" xfId="9054"/>
    <cellStyle name="Normal 2 33 4 2 3 2" xfId="9055"/>
    <cellStyle name="Normal 2 33 4 2 3 2 2" xfId="9056"/>
    <cellStyle name="Normal 2 33 4 2 3 3" xfId="9057"/>
    <cellStyle name="Normal 2 33 4 2 4" xfId="9058"/>
    <cellStyle name="Normal 2 33 4 2 4 2" xfId="9059"/>
    <cellStyle name="Normal 2 33 4 2 5" xfId="9060"/>
    <cellStyle name="Normal 2 33 4 3" xfId="9061"/>
    <cellStyle name="Normal 2 33 4 3 2" xfId="9062"/>
    <cellStyle name="Normal 2 33 4 3 2 2" xfId="9063"/>
    <cellStyle name="Normal 2 33 4 3 2 2 2" xfId="9064"/>
    <cellStyle name="Normal 2 33 4 3 2 3" xfId="9065"/>
    <cellStyle name="Normal 2 33 4 3 3" xfId="9066"/>
    <cellStyle name="Normal 2 33 4 3 3 2" xfId="9067"/>
    <cellStyle name="Normal 2 33 4 3 3 2 2" xfId="9068"/>
    <cellStyle name="Normal 2 33 4 3 3 3" xfId="9069"/>
    <cellStyle name="Normal 2 33 4 3 4" xfId="9070"/>
    <cellStyle name="Normal 2 33 4 3 4 2" xfId="9071"/>
    <cellStyle name="Normal 2 33 4 3 5" xfId="9072"/>
    <cellStyle name="Normal 2 33 4 4" xfId="9073"/>
    <cellStyle name="Normal 2 33 4 4 2" xfId="9074"/>
    <cellStyle name="Normal 2 33 4 4 2 2" xfId="9075"/>
    <cellStyle name="Normal 2 33 4 4 2 2 2" xfId="9076"/>
    <cellStyle name="Normal 2 33 4 4 2 3" xfId="9077"/>
    <cellStyle name="Normal 2 33 4 4 3" xfId="9078"/>
    <cellStyle name="Normal 2 33 4 4 3 2" xfId="9079"/>
    <cellStyle name="Normal 2 33 4 4 3 2 2" xfId="9080"/>
    <cellStyle name="Normal 2 33 4 4 3 3" xfId="9081"/>
    <cellStyle name="Normal 2 33 4 4 4" xfId="9082"/>
    <cellStyle name="Normal 2 33 4 4 4 2" xfId="9083"/>
    <cellStyle name="Normal 2 33 4 4 5" xfId="9084"/>
    <cellStyle name="Normal 2 33 4 5" xfId="9085"/>
    <cellStyle name="Normal 2 33 4 5 2" xfId="9086"/>
    <cellStyle name="Normal 2 33 4 5 2 2" xfId="9087"/>
    <cellStyle name="Normal 2 33 4 5 3" xfId="9088"/>
    <cellStyle name="Normal 2 33 4 6" xfId="9089"/>
    <cellStyle name="Normal 2 33 4 6 2" xfId="9090"/>
    <cellStyle name="Normal 2 33 4 6 2 2" xfId="9091"/>
    <cellStyle name="Normal 2 33 4 6 3" xfId="9092"/>
    <cellStyle name="Normal 2 33 4 7" xfId="9093"/>
    <cellStyle name="Normal 2 33 4 7 2" xfId="9094"/>
    <cellStyle name="Normal 2 33 4 8" xfId="9095"/>
    <cellStyle name="Normal 2 33 5" xfId="9096"/>
    <cellStyle name="Normal 2 33 5 2" xfId="9097"/>
    <cellStyle name="Normal 2 33 5 3" xfId="9098"/>
    <cellStyle name="Normal 2 33 5 3 2" xfId="9099"/>
    <cellStyle name="Normal 2 33 5 3 2 2" xfId="9100"/>
    <cellStyle name="Normal 2 33 5 3 3" xfId="9101"/>
    <cellStyle name="Normal 2 33 5 4" xfId="9102"/>
    <cellStyle name="Normal 2 33 5 4 2" xfId="9103"/>
    <cellStyle name="Normal 2 33 5 4 2 2" xfId="9104"/>
    <cellStyle name="Normal 2 33 5 4 3" xfId="9105"/>
    <cellStyle name="Normal 2 33 5 5" xfId="9106"/>
    <cellStyle name="Normal 2 33 5 5 2" xfId="9107"/>
    <cellStyle name="Normal 2 33 5 6" xfId="9108"/>
    <cellStyle name="Normal 2 33 6" xfId="9109"/>
    <cellStyle name="Normal 2 33 6 2" xfId="9110"/>
    <cellStyle name="Normal 2 33 6 2 2" xfId="9111"/>
    <cellStyle name="Normal 2 33 6 2 2 2" xfId="9112"/>
    <cellStyle name="Normal 2 33 6 2 3" xfId="9113"/>
    <cellStyle name="Normal 2 33 6 3" xfId="9114"/>
    <cellStyle name="Normal 2 33 6 3 2" xfId="9115"/>
    <cellStyle name="Normal 2 33 6 3 2 2" xfId="9116"/>
    <cellStyle name="Normal 2 33 6 3 3" xfId="9117"/>
    <cellStyle name="Normal 2 33 6 4" xfId="9118"/>
    <cellStyle name="Normal 2 33 6 4 2" xfId="9119"/>
    <cellStyle name="Normal 2 33 6 5" xfId="9120"/>
    <cellStyle name="Normal 2 33 7" xfId="9121"/>
    <cellStyle name="Normal 2 33 7 2" xfId="9122"/>
    <cellStyle name="Normal 2 33 7 2 2" xfId="9123"/>
    <cellStyle name="Normal 2 33 7 2 2 2" xfId="9124"/>
    <cellStyle name="Normal 2 33 7 2 3" xfId="9125"/>
    <cellStyle name="Normal 2 33 7 3" xfId="9126"/>
    <cellStyle name="Normal 2 33 7 3 2" xfId="9127"/>
    <cellStyle name="Normal 2 33 7 3 2 2" xfId="9128"/>
    <cellStyle name="Normal 2 33 7 3 3" xfId="9129"/>
    <cellStyle name="Normal 2 33 7 4" xfId="9130"/>
    <cellStyle name="Normal 2 33 7 4 2" xfId="9131"/>
    <cellStyle name="Normal 2 33 7 5" xfId="9132"/>
    <cellStyle name="Normal 2 33 8" xfId="9133"/>
    <cellStyle name="Normal 2 33 8 2" xfId="9134"/>
    <cellStyle name="Normal 2 33 8 2 2" xfId="9135"/>
    <cellStyle name="Normal 2 33 8 3" xfId="9136"/>
    <cellStyle name="Normal 2 33 9" xfId="9137"/>
    <cellStyle name="Normal 2 33 9 2" xfId="9138"/>
    <cellStyle name="Normal 2 33 9 2 2" xfId="9139"/>
    <cellStyle name="Normal 2 33 9 3" xfId="9140"/>
    <cellStyle name="Normal 2 34" xfId="9141"/>
    <cellStyle name="Normal 2 34 2" xfId="9142"/>
    <cellStyle name="Normal 2 34 3" xfId="9143"/>
    <cellStyle name="Normal 2 34 3 2" xfId="9144"/>
    <cellStyle name="Normal 2 34 3 2 2" xfId="9145"/>
    <cellStyle name="Normal 2 34 3 3" xfId="9146"/>
    <cellStyle name="Normal 2 34 4" xfId="9147"/>
    <cellStyle name="Normal 2 34 4 2" xfId="9148"/>
    <cellStyle name="Normal 2 34 4 2 2" xfId="9149"/>
    <cellStyle name="Normal 2 34 4 3" xfId="9150"/>
    <cellStyle name="Normal 2 34 5" xfId="9151"/>
    <cellStyle name="Normal 2 34 5 2" xfId="9152"/>
    <cellStyle name="Normal 2 34 6" xfId="9153"/>
    <cellStyle name="Normal 2 35" xfId="9154"/>
    <cellStyle name="Normal 2 35 2" xfId="9155"/>
    <cellStyle name="Normal 2 35 3" xfId="9156"/>
    <cellStyle name="Normal 2 35 3 2" xfId="9157"/>
    <cellStyle name="Normal 2 35 3 2 2" xfId="9158"/>
    <cellStyle name="Normal 2 35 3 3" xfId="9159"/>
    <cellStyle name="Normal 2 35 4" xfId="9160"/>
    <cellStyle name="Normal 2 35 4 2" xfId="9161"/>
    <cellStyle name="Normal 2 35 4 2 2" xfId="9162"/>
    <cellStyle name="Normal 2 35 4 3" xfId="9163"/>
    <cellStyle name="Normal 2 35 5" xfId="9164"/>
    <cellStyle name="Normal 2 35 5 2" xfId="9165"/>
    <cellStyle name="Normal 2 35 6" xfId="9166"/>
    <cellStyle name="Normal 2 36" xfId="9167"/>
    <cellStyle name="Normal 2 36 2" xfId="9168"/>
    <cellStyle name="Normal 2 36 3" xfId="9169"/>
    <cellStyle name="Normal 2 36 3 2" xfId="9170"/>
    <cellStyle name="Normal 2 36 3 2 2" xfId="9171"/>
    <cellStyle name="Normal 2 36 3 3" xfId="9172"/>
    <cellStyle name="Normal 2 36 4" xfId="9173"/>
    <cellStyle name="Normal 2 36 4 2" xfId="9174"/>
    <cellStyle name="Normal 2 36 4 2 2" xfId="9175"/>
    <cellStyle name="Normal 2 36 4 3" xfId="9176"/>
    <cellStyle name="Normal 2 36 5" xfId="9177"/>
    <cellStyle name="Normal 2 36 5 2" xfId="9178"/>
    <cellStyle name="Normal 2 36 6" xfId="9179"/>
    <cellStyle name="Normal 2 37" xfId="9180"/>
    <cellStyle name="Normal 2 37 2" xfId="9181"/>
    <cellStyle name="Normal 2 37 3" xfId="9182"/>
    <cellStyle name="Normal 2 37 3 2" xfId="9183"/>
    <cellStyle name="Normal 2 37 3 2 2" xfId="9184"/>
    <cellStyle name="Normal 2 37 3 3" xfId="9185"/>
    <cellStyle name="Normal 2 37 4" xfId="9186"/>
    <cellStyle name="Normal 2 37 4 2" xfId="9187"/>
    <cellStyle name="Normal 2 37 4 2 2" xfId="9188"/>
    <cellStyle name="Normal 2 37 4 3" xfId="9189"/>
    <cellStyle name="Normal 2 37 5" xfId="9190"/>
    <cellStyle name="Normal 2 37 5 2" xfId="9191"/>
    <cellStyle name="Normal 2 37 6" xfId="9192"/>
    <cellStyle name="Normal 2 38" xfId="9193"/>
    <cellStyle name="Normal 2 39" xfId="9194"/>
    <cellStyle name="Normal 2 4" xfId="9195"/>
    <cellStyle name="Normal 2 4 2" xfId="9196"/>
    <cellStyle name="Normal 2 40" xfId="9197"/>
    <cellStyle name="Normal 2 41" xfId="9198"/>
    <cellStyle name="Normal 2 42" xfId="9199"/>
    <cellStyle name="Normal 2 43" xfId="9200"/>
    <cellStyle name="Normal 2 44" xfId="9201"/>
    <cellStyle name="Normal 2 45" xfId="18354"/>
    <cellStyle name="Normal 2 46" xfId="18355"/>
    <cellStyle name="Normal 2 47" xfId="18356"/>
    <cellStyle name="Normal 2 48" xfId="18357"/>
    <cellStyle name="Normal 2 49" xfId="18358"/>
    <cellStyle name="Normal 2 5" xfId="9202"/>
    <cellStyle name="Normal 2 5 2" xfId="9203"/>
    <cellStyle name="Normal 2 50" xfId="18359"/>
    <cellStyle name="Normal 2 51" xfId="18360"/>
    <cellStyle name="Normal 2 52" xfId="18361"/>
    <cellStyle name="Normal 2 53" xfId="18362"/>
    <cellStyle name="Normal 2 54" xfId="18363"/>
    <cellStyle name="Normal 2 55" xfId="18364"/>
    <cellStyle name="Normal 2 56" xfId="18365"/>
    <cellStyle name="Normal 2 57" xfId="18366"/>
    <cellStyle name="Normal 2 58" xfId="18367"/>
    <cellStyle name="Normal 2 59" xfId="18368"/>
    <cellStyle name="Normal 2 6" xfId="9204"/>
    <cellStyle name="Normal 2 6 2" xfId="9205"/>
    <cellStyle name="Normal 2 60" xfId="18369"/>
    <cellStyle name="Normal 2 61" xfId="18370"/>
    <cellStyle name="Normal 2 62" xfId="18371"/>
    <cellStyle name="Normal 2 63" xfId="18372"/>
    <cellStyle name="Normal 2 64" xfId="18373"/>
    <cellStyle name="Normal 2 65" xfId="18374"/>
    <cellStyle name="Normal 2 66" xfId="18375"/>
    <cellStyle name="Normal 2 67" xfId="18376"/>
    <cellStyle name="Normal 2 68" xfId="18377"/>
    <cellStyle name="Normal 2 69" xfId="18378"/>
    <cellStyle name="Normal 2 7" xfId="9206"/>
    <cellStyle name="Normal 2 7 2" xfId="9207"/>
    <cellStyle name="Normal 2 70" xfId="18379"/>
    <cellStyle name="Normal 2 71" xfId="18380"/>
    <cellStyle name="Normal 2 72" xfId="18381"/>
    <cellStyle name="Normal 2 73" xfId="18382"/>
    <cellStyle name="Normal 2 74" xfId="18383"/>
    <cellStyle name="Normal 2 75" xfId="18384"/>
    <cellStyle name="Normal 2 76" xfId="18385"/>
    <cellStyle name="Normal 2 77" xfId="18386"/>
    <cellStyle name="Normal 2 78" xfId="18387"/>
    <cellStyle name="Normal 2 79" xfId="18388"/>
    <cellStyle name="Normal 2 8" xfId="9208"/>
    <cellStyle name="Normal 2 8 2" xfId="9209"/>
    <cellStyle name="Normal 2 80" xfId="18389"/>
    <cellStyle name="Normal 2 81" xfId="18390"/>
    <cellStyle name="Normal 2 82" xfId="18391"/>
    <cellStyle name="Normal 2 83" xfId="18392"/>
    <cellStyle name="Normal 2 84" xfId="18393"/>
    <cellStyle name="Normal 2 85" xfId="18394"/>
    <cellStyle name="Normal 2 86" xfId="18395"/>
    <cellStyle name="Normal 2 87" xfId="18396"/>
    <cellStyle name="Normal 2 88" xfId="18397"/>
    <cellStyle name="Normal 2 89" xfId="18398"/>
    <cellStyle name="Normal 2 9" xfId="9210"/>
    <cellStyle name="Normal 2 9 2" xfId="9211"/>
    <cellStyle name="Normal 2 90" xfId="18399"/>
    <cellStyle name="Normal 2 91" xfId="18400"/>
    <cellStyle name="Normal 2 92" xfId="18401"/>
    <cellStyle name="Normal 2 93" xfId="18402"/>
    <cellStyle name="Normal 2 94" xfId="18403"/>
    <cellStyle name="Normal 2 95" xfId="18404"/>
    <cellStyle name="Normal 2 96" xfId="18405"/>
    <cellStyle name="Normal 2 97" xfId="18406"/>
    <cellStyle name="Normal 2 98" xfId="18407"/>
    <cellStyle name="Normal 2 99" xfId="18408"/>
    <cellStyle name="Normal 2_ACES Shortcut" xfId="9212"/>
    <cellStyle name="Normal 20" xfId="9213"/>
    <cellStyle name="Normal 20 10" xfId="9214"/>
    <cellStyle name="Normal 20 10 2" xfId="9215"/>
    <cellStyle name="Normal 20 10 3" xfId="9216"/>
    <cellStyle name="Normal 20 10 4" xfId="9217"/>
    <cellStyle name="Normal 20 11" xfId="9218"/>
    <cellStyle name="Normal 20 11 2" xfId="9219"/>
    <cellStyle name="Normal 20 11 3" xfId="9220"/>
    <cellStyle name="Normal 20 11 4" xfId="9221"/>
    <cellStyle name="Normal 20 12" xfId="9222"/>
    <cellStyle name="Normal 20 12 2" xfId="9223"/>
    <cellStyle name="Normal 20 12 3" xfId="9224"/>
    <cellStyle name="Normal 20 12 4" xfId="9225"/>
    <cellStyle name="Normal 20 13" xfId="9226"/>
    <cellStyle name="Normal 20 13 2" xfId="9227"/>
    <cellStyle name="Normal 20 13 3" xfId="9228"/>
    <cellStyle name="Normal 20 13 4" xfId="9229"/>
    <cellStyle name="Normal 20 14" xfId="9230"/>
    <cellStyle name="Normal 20 14 2" xfId="9231"/>
    <cellStyle name="Normal 20 14 3" xfId="9232"/>
    <cellStyle name="Normal 20 14 4" xfId="9233"/>
    <cellStyle name="Normal 20 15" xfId="9234"/>
    <cellStyle name="Normal 20 15 2" xfId="9235"/>
    <cellStyle name="Normal 20 15 3" xfId="9236"/>
    <cellStyle name="Normal 20 15 4" xfId="9237"/>
    <cellStyle name="Normal 20 16" xfId="9238"/>
    <cellStyle name="Normal 20 16 2" xfId="9239"/>
    <cellStyle name="Normal 20 16 3" xfId="9240"/>
    <cellStyle name="Normal 20 16 4" xfId="9241"/>
    <cellStyle name="Normal 20 17" xfId="9242"/>
    <cellStyle name="Normal 20 17 2" xfId="9243"/>
    <cellStyle name="Normal 20 18" xfId="9244"/>
    <cellStyle name="Normal 20 18 2" xfId="9245"/>
    <cellStyle name="Normal 20 19" xfId="9246"/>
    <cellStyle name="Normal 20 19 2" xfId="9247"/>
    <cellStyle name="Normal 20 2" xfId="9248"/>
    <cellStyle name="Normal 20 2 2" xfId="9249"/>
    <cellStyle name="Normal 20 2 3" xfId="9250"/>
    <cellStyle name="Normal 20 2 4" xfId="9251"/>
    <cellStyle name="Normal 20 20" xfId="9252"/>
    <cellStyle name="Normal 20 20 2" xfId="9253"/>
    <cellStyle name="Normal 20 21" xfId="9254"/>
    <cellStyle name="Normal 20 21 2" xfId="9255"/>
    <cellStyle name="Normal 20 22" xfId="9256"/>
    <cellStyle name="Normal 20 22 2" xfId="9257"/>
    <cellStyle name="Normal 20 23" xfId="9258"/>
    <cellStyle name="Normal 20 23 2" xfId="9259"/>
    <cellStyle name="Normal 20 24" xfId="9260"/>
    <cellStyle name="Normal 20 24 2" xfId="9261"/>
    <cellStyle name="Normal 20 25" xfId="9262"/>
    <cellStyle name="Normal 20 25 2" xfId="9263"/>
    <cellStyle name="Normal 20 26" xfId="9264"/>
    <cellStyle name="Normal 20 26 2" xfId="9265"/>
    <cellStyle name="Normal 20 27" xfId="9266"/>
    <cellStyle name="Normal 20 27 2" xfId="9267"/>
    <cellStyle name="Normal 20 28" xfId="9268"/>
    <cellStyle name="Normal 20 28 2" xfId="9269"/>
    <cellStyle name="Normal 20 29" xfId="9270"/>
    <cellStyle name="Normal 20 29 2" xfId="9271"/>
    <cellStyle name="Normal 20 3" xfId="9272"/>
    <cellStyle name="Normal 20 3 2" xfId="9273"/>
    <cellStyle name="Normal 20 3 3" xfId="9274"/>
    <cellStyle name="Normal 20 3 4" xfId="9275"/>
    <cellStyle name="Normal 20 30" xfId="9276"/>
    <cellStyle name="Normal 20 30 2" xfId="9277"/>
    <cellStyle name="Normal 20 31" xfId="9278"/>
    <cellStyle name="Normal 20 31 2" xfId="9279"/>
    <cellStyle name="Normal 20 32" xfId="9280"/>
    <cellStyle name="Normal 20 32 2" xfId="9281"/>
    <cellStyle name="Normal 20 33" xfId="9282"/>
    <cellStyle name="Normal 20 33 2" xfId="9283"/>
    <cellStyle name="Normal 20 34" xfId="9284"/>
    <cellStyle name="Normal 20 34 2" xfId="9285"/>
    <cellStyle name="Normal 20 35" xfId="9286"/>
    <cellStyle name="Normal 20 36" xfId="18657"/>
    <cellStyle name="Normal 20 4" xfId="9287"/>
    <cellStyle name="Normal 20 4 2" xfId="9288"/>
    <cellStyle name="Normal 20 4 3" xfId="9289"/>
    <cellStyle name="Normal 20 4 4" xfId="9290"/>
    <cellStyle name="Normal 20 5" xfId="9291"/>
    <cellStyle name="Normal 20 5 2" xfId="9292"/>
    <cellStyle name="Normal 20 5 3" xfId="9293"/>
    <cellStyle name="Normal 20 5 4" xfId="9294"/>
    <cellStyle name="Normal 20 6" xfId="9295"/>
    <cellStyle name="Normal 20 6 2" xfId="9296"/>
    <cellStyle name="Normal 20 6 3" xfId="9297"/>
    <cellStyle name="Normal 20 6 4" xfId="9298"/>
    <cellStyle name="Normal 20 7" xfId="9299"/>
    <cellStyle name="Normal 20 7 2" xfId="9300"/>
    <cellStyle name="Normal 20 7 3" xfId="9301"/>
    <cellStyle name="Normal 20 7 4" xfId="9302"/>
    <cellStyle name="Normal 20 8" xfId="9303"/>
    <cellStyle name="Normal 20 8 2" xfId="9304"/>
    <cellStyle name="Normal 20 8 3" xfId="9305"/>
    <cellStyle name="Normal 20 8 4" xfId="9306"/>
    <cellStyle name="Normal 20 9" xfId="9307"/>
    <cellStyle name="Normal 20 9 2" xfId="9308"/>
    <cellStyle name="Normal 20 9 3" xfId="9309"/>
    <cellStyle name="Normal 20 9 4" xfId="9310"/>
    <cellStyle name="Normal 200" xfId="18409"/>
    <cellStyle name="Normal 201" xfId="18410"/>
    <cellStyle name="Normal 202" xfId="18411"/>
    <cellStyle name="Normal 203" xfId="18412"/>
    <cellStyle name="Normal 204" xfId="18413"/>
    <cellStyle name="Normal 205" xfId="18414"/>
    <cellStyle name="Normal 206" xfId="18415"/>
    <cellStyle name="Normal 207" xfId="18416"/>
    <cellStyle name="Normal 208" xfId="18417"/>
    <cellStyle name="Normal 209" xfId="18418"/>
    <cellStyle name="Normal 21" xfId="9311"/>
    <cellStyle name="Normal 21 10" xfId="9312"/>
    <cellStyle name="Normal 21 10 2" xfId="9313"/>
    <cellStyle name="Normal 21 11" xfId="9314"/>
    <cellStyle name="Normal 21 11 2" xfId="9315"/>
    <cellStyle name="Normal 21 12" xfId="9316"/>
    <cellStyle name="Normal 21 12 2" xfId="9317"/>
    <cellStyle name="Normal 21 13" xfId="9318"/>
    <cellStyle name="Normal 21 13 2" xfId="9319"/>
    <cellStyle name="Normal 21 14" xfId="9320"/>
    <cellStyle name="Normal 21 14 2" xfId="9321"/>
    <cellStyle name="Normal 21 15" xfId="9322"/>
    <cellStyle name="Normal 21 15 2" xfId="9323"/>
    <cellStyle name="Normal 21 16" xfId="9324"/>
    <cellStyle name="Normal 21 16 2" xfId="9325"/>
    <cellStyle name="Normal 21 17" xfId="9326"/>
    <cellStyle name="Normal 21 17 2" xfId="9327"/>
    <cellStyle name="Normal 21 18" xfId="9328"/>
    <cellStyle name="Normal 21 18 2" xfId="9329"/>
    <cellStyle name="Normal 21 19" xfId="9330"/>
    <cellStyle name="Normal 21 19 2" xfId="9331"/>
    <cellStyle name="Normal 21 2" xfId="9332"/>
    <cellStyle name="Normal 21 2 2" xfId="9333"/>
    <cellStyle name="Normal 21 2 3" xfId="9334"/>
    <cellStyle name="Normal 21 2 4" xfId="9335"/>
    <cellStyle name="Normal 21 20" xfId="9336"/>
    <cellStyle name="Normal 21 20 2" xfId="9337"/>
    <cellStyle name="Normal 21 21" xfId="9338"/>
    <cellStyle name="Normal 21 21 2" xfId="9339"/>
    <cellStyle name="Normal 21 22" xfId="9340"/>
    <cellStyle name="Normal 21 22 2" xfId="9341"/>
    <cellStyle name="Normal 21 23" xfId="9342"/>
    <cellStyle name="Normal 21 23 2" xfId="9343"/>
    <cellStyle name="Normal 21 24" xfId="9344"/>
    <cellStyle name="Normal 21 24 2" xfId="9345"/>
    <cellStyle name="Normal 21 25" xfId="9346"/>
    <cellStyle name="Normal 21 25 2" xfId="9347"/>
    <cellStyle name="Normal 21 26" xfId="9348"/>
    <cellStyle name="Normal 21 26 2" xfId="9349"/>
    <cellStyle name="Normal 21 27" xfId="9350"/>
    <cellStyle name="Normal 21 27 2" xfId="9351"/>
    <cellStyle name="Normal 21 28" xfId="9352"/>
    <cellStyle name="Normal 21 28 2" xfId="9353"/>
    <cellStyle name="Normal 21 29" xfId="9354"/>
    <cellStyle name="Normal 21 29 2" xfId="9355"/>
    <cellStyle name="Normal 21 3" xfId="9356"/>
    <cellStyle name="Normal 21 3 2" xfId="9357"/>
    <cellStyle name="Normal 21 3 3" xfId="9358"/>
    <cellStyle name="Normal 21 3 4" xfId="9359"/>
    <cellStyle name="Normal 21 30" xfId="9360"/>
    <cellStyle name="Normal 21 30 2" xfId="9361"/>
    <cellStyle name="Normal 21 31" xfId="9362"/>
    <cellStyle name="Normal 21 31 2" xfId="9363"/>
    <cellStyle name="Normal 21 32" xfId="9364"/>
    <cellStyle name="Normal 21 32 2" xfId="9365"/>
    <cellStyle name="Normal 21 33" xfId="9366"/>
    <cellStyle name="Normal 21 33 2" xfId="9367"/>
    <cellStyle name="Normal 21 34" xfId="9368"/>
    <cellStyle name="Normal 21 34 2" xfId="9369"/>
    <cellStyle name="Normal 21 35" xfId="9370"/>
    <cellStyle name="Normal 21 36" xfId="18658"/>
    <cellStyle name="Normal 21 4" xfId="9371"/>
    <cellStyle name="Normal 21 4 2" xfId="9372"/>
    <cellStyle name="Normal 21 4 3" xfId="9373"/>
    <cellStyle name="Normal 21 4 4" xfId="9374"/>
    <cellStyle name="Normal 21 5" xfId="9375"/>
    <cellStyle name="Normal 21 5 2" xfId="9376"/>
    <cellStyle name="Normal 21 5 3" xfId="9377"/>
    <cellStyle name="Normal 21 5 4" xfId="9378"/>
    <cellStyle name="Normal 21 6" xfId="9379"/>
    <cellStyle name="Normal 21 6 2" xfId="9380"/>
    <cellStyle name="Normal 21 6 3" xfId="9381"/>
    <cellStyle name="Normal 21 6 4" xfId="9382"/>
    <cellStyle name="Normal 21 7" xfId="9383"/>
    <cellStyle name="Normal 21 7 2" xfId="9384"/>
    <cellStyle name="Normal 21 7 3" xfId="9385"/>
    <cellStyle name="Normal 21 7 4" xfId="9386"/>
    <cellStyle name="Normal 21 8" xfId="9387"/>
    <cellStyle name="Normal 21 8 2" xfId="9388"/>
    <cellStyle name="Normal 21 8 3" xfId="9389"/>
    <cellStyle name="Normal 21 8 4" xfId="9390"/>
    <cellStyle name="Normal 21 9" xfId="9391"/>
    <cellStyle name="Normal 21 9 2" xfId="9392"/>
    <cellStyle name="Normal 21 9 3" xfId="9393"/>
    <cellStyle name="Normal 21 9 4" xfId="9394"/>
    <cellStyle name="Normal 210" xfId="18419"/>
    <cellStyle name="Normal 211" xfId="18420"/>
    <cellStyle name="Normal 212" xfId="18421"/>
    <cellStyle name="Normal 213" xfId="18422"/>
    <cellStyle name="Normal 214" xfId="18423"/>
    <cellStyle name="Normal 215" xfId="18424"/>
    <cellStyle name="Normal 216" xfId="18425"/>
    <cellStyle name="Normal 217" xfId="18426"/>
    <cellStyle name="Normal 218" xfId="18427"/>
    <cellStyle name="Normal 219" xfId="18428"/>
    <cellStyle name="Normal 22" xfId="9395"/>
    <cellStyle name="Normal 22 10" xfId="9396"/>
    <cellStyle name="Normal 22 10 2" xfId="9397"/>
    <cellStyle name="Normal 22 11" xfId="9398"/>
    <cellStyle name="Normal 22 11 2" xfId="9399"/>
    <cellStyle name="Normal 22 12" xfId="9400"/>
    <cellStyle name="Normal 22 12 2" xfId="9401"/>
    <cellStyle name="Normal 22 13" xfId="9402"/>
    <cellStyle name="Normal 22 13 2" xfId="9403"/>
    <cellStyle name="Normal 22 14" xfId="9404"/>
    <cellStyle name="Normal 22 14 2" xfId="9405"/>
    <cellStyle name="Normal 22 15" xfId="9406"/>
    <cellStyle name="Normal 22 15 2" xfId="9407"/>
    <cellStyle name="Normal 22 16" xfId="9408"/>
    <cellStyle name="Normal 22 16 2" xfId="9409"/>
    <cellStyle name="Normal 22 17" xfId="9410"/>
    <cellStyle name="Normal 22 17 2" xfId="9411"/>
    <cellStyle name="Normal 22 18" xfId="9412"/>
    <cellStyle name="Normal 22 18 2" xfId="9413"/>
    <cellStyle name="Normal 22 19" xfId="9414"/>
    <cellStyle name="Normal 22 19 2" xfId="9415"/>
    <cellStyle name="Normal 22 2" xfId="9416"/>
    <cellStyle name="Normal 22 2 2" xfId="9417"/>
    <cellStyle name="Normal 22 2 3" xfId="9418"/>
    <cellStyle name="Normal 22 2 4" xfId="9419"/>
    <cellStyle name="Normal 22 20" xfId="9420"/>
    <cellStyle name="Normal 22 20 2" xfId="9421"/>
    <cellStyle name="Normal 22 21" xfId="9422"/>
    <cellStyle name="Normal 22 21 2" xfId="9423"/>
    <cellStyle name="Normal 22 22" xfId="9424"/>
    <cellStyle name="Normal 22 22 2" xfId="9425"/>
    <cellStyle name="Normal 22 23" xfId="9426"/>
    <cellStyle name="Normal 22 23 2" xfId="9427"/>
    <cellStyle name="Normal 22 24" xfId="9428"/>
    <cellStyle name="Normal 22 24 2" xfId="9429"/>
    <cellStyle name="Normal 22 25" xfId="9430"/>
    <cellStyle name="Normal 22 25 2" xfId="9431"/>
    <cellStyle name="Normal 22 26" xfId="9432"/>
    <cellStyle name="Normal 22 26 2" xfId="9433"/>
    <cellStyle name="Normal 22 27" xfId="9434"/>
    <cellStyle name="Normal 22 27 2" xfId="9435"/>
    <cellStyle name="Normal 22 28" xfId="9436"/>
    <cellStyle name="Normal 22 28 2" xfId="9437"/>
    <cellStyle name="Normal 22 29" xfId="9438"/>
    <cellStyle name="Normal 22 29 2" xfId="9439"/>
    <cellStyle name="Normal 22 3" xfId="9440"/>
    <cellStyle name="Normal 22 3 2" xfId="9441"/>
    <cellStyle name="Normal 22 3 3" xfId="9442"/>
    <cellStyle name="Normal 22 3 4" xfId="9443"/>
    <cellStyle name="Normal 22 30" xfId="9444"/>
    <cellStyle name="Normal 22 30 2" xfId="9445"/>
    <cellStyle name="Normal 22 31" xfId="9446"/>
    <cellStyle name="Normal 22 31 2" xfId="9447"/>
    <cellStyle name="Normal 22 32" xfId="9448"/>
    <cellStyle name="Normal 22 32 2" xfId="9449"/>
    <cellStyle name="Normal 22 33" xfId="9450"/>
    <cellStyle name="Normal 22 33 2" xfId="9451"/>
    <cellStyle name="Normal 22 34" xfId="9452"/>
    <cellStyle name="Normal 22 34 2" xfId="9453"/>
    <cellStyle name="Normal 22 35" xfId="9454"/>
    <cellStyle name="Normal 22 36" xfId="18659"/>
    <cellStyle name="Normal 22 4" xfId="9455"/>
    <cellStyle name="Normal 22 4 2" xfId="9456"/>
    <cellStyle name="Normal 22 4 3" xfId="9457"/>
    <cellStyle name="Normal 22 4 4" xfId="9458"/>
    <cellStyle name="Normal 22 5" xfId="9459"/>
    <cellStyle name="Normal 22 5 2" xfId="9460"/>
    <cellStyle name="Normal 22 5 3" xfId="9461"/>
    <cellStyle name="Normal 22 5 4" xfId="9462"/>
    <cellStyle name="Normal 22 6" xfId="9463"/>
    <cellStyle name="Normal 22 6 2" xfId="9464"/>
    <cellStyle name="Normal 22 6 3" xfId="9465"/>
    <cellStyle name="Normal 22 6 4" xfId="9466"/>
    <cellStyle name="Normal 22 7" xfId="9467"/>
    <cellStyle name="Normal 22 7 2" xfId="9468"/>
    <cellStyle name="Normal 22 7 3" xfId="9469"/>
    <cellStyle name="Normal 22 7 4" xfId="9470"/>
    <cellStyle name="Normal 22 8" xfId="9471"/>
    <cellStyle name="Normal 22 8 2" xfId="9472"/>
    <cellStyle name="Normal 22 8 3" xfId="9473"/>
    <cellStyle name="Normal 22 8 4" xfId="9474"/>
    <cellStyle name="Normal 22 9" xfId="9475"/>
    <cellStyle name="Normal 22 9 2" xfId="9476"/>
    <cellStyle name="Normal 22 9 3" xfId="9477"/>
    <cellStyle name="Normal 22 9 4" xfId="9478"/>
    <cellStyle name="Normal 220" xfId="18429"/>
    <cellStyle name="Normal 221" xfId="18430"/>
    <cellStyle name="Normal 222" xfId="18431"/>
    <cellStyle name="Normal 223" xfId="18432"/>
    <cellStyle name="Normal 224" xfId="18433"/>
    <cellStyle name="Normal 225" xfId="18434"/>
    <cellStyle name="Normal 226" xfId="18435"/>
    <cellStyle name="Normal 227" xfId="18436"/>
    <cellStyle name="Normal 228" xfId="18437"/>
    <cellStyle name="Normal 229" xfId="18438"/>
    <cellStyle name="Normal 23" xfId="9479"/>
    <cellStyle name="Normal 23 10" xfId="9480"/>
    <cellStyle name="Normal 23 10 2" xfId="9481"/>
    <cellStyle name="Normal 23 11" xfId="9482"/>
    <cellStyle name="Normal 23 11 2" xfId="9483"/>
    <cellStyle name="Normal 23 12" xfId="9484"/>
    <cellStyle name="Normal 23 12 2" xfId="9485"/>
    <cellStyle name="Normal 23 13" xfId="9486"/>
    <cellStyle name="Normal 23 13 2" xfId="9487"/>
    <cellStyle name="Normal 23 14" xfId="9488"/>
    <cellStyle name="Normal 23 14 2" xfId="9489"/>
    <cellStyle name="Normal 23 15" xfId="9490"/>
    <cellStyle name="Normal 23 15 2" xfId="9491"/>
    <cellStyle name="Normal 23 16" xfId="9492"/>
    <cellStyle name="Normal 23 16 2" xfId="9493"/>
    <cellStyle name="Normal 23 17" xfId="9494"/>
    <cellStyle name="Normal 23 17 2" xfId="9495"/>
    <cellStyle name="Normal 23 18" xfId="9496"/>
    <cellStyle name="Normal 23 18 2" xfId="9497"/>
    <cellStyle name="Normal 23 19" xfId="9498"/>
    <cellStyle name="Normal 23 19 2" xfId="9499"/>
    <cellStyle name="Normal 23 2" xfId="9500"/>
    <cellStyle name="Normal 23 2 2" xfId="9501"/>
    <cellStyle name="Normal 23 2 3" xfId="9502"/>
    <cellStyle name="Normal 23 2 4" xfId="9503"/>
    <cellStyle name="Normal 23 20" xfId="9504"/>
    <cellStyle name="Normal 23 20 2" xfId="9505"/>
    <cellStyle name="Normal 23 21" xfId="9506"/>
    <cellStyle name="Normal 23 21 2" xfId="9507"/>
    <cellStyle name="Normal 23 22" xfId="9508"/>
    <cellStyle name="Normal 23 22 2" xfId="9509"/>
    <cellStyle name="Normal 23 23" xfId="9510"/>
    <cellStyle name="Normal 23 23 2" xfId="9511"/>
    <cellStyle name="Normal 23 24" xfId="9512"/>
    <cellStyle name="Normal 23 24 2" xfId="9513"/>
    <cellStyle name="Normal 23 25" xfId="9514"/>
    <cellStyle name="Normal 23 25 2" xfId="9515"/>
    <cellStyle name="Normal 23 26" xfId="9516"/>
    <cellStyle name="Normal 23 26 2" xfId="9517"/>
    <cellStyle name="Normal 23 27" xfId="9518"/>
    <cellStyle name="Normal 23 27 2" xfId="9519"/>
    <cellStyle name="Normal 23 28" xfId="9520"/>
    <cellStyle name="Normal 23 28 2" xfId="9521"/>
    <cellStyle name="Normal 23 29" xfId="9522"/>
    <cellStyle name="Normal 23 29 2" xfId="9523"/>
    <cellStyle name="Normal 23 3" xfId="9524"/>
    <cellStyle name="Normal 23 3 2" xfId="9525"/>
    <cellStyle name="Normal 23 3 3" xfId="9526"/>
    <cellStyle name="Normal 23 3 4" xfId="9527"/>
    <cellStyle name="Normal 23 30" xfId="9528"/>
    <cellStyle name="Normal 23 30 2" xfId="9529"/>
    <cellStyle name="Normal 23 31" xfId="9530"/>
    <cellStyle name="Normal 23 31 2" xfId="9531"/>
    <cellStyle name="Normal 23 32" xfId="9532"/>
    <cellStyle name="Normal 23 32 2" xfId="9533"/>
    <cellStyle name="Normal 23 33" xfId="9534"/>
    <cellStyle name="Normal 23 33 2" xfId="9535"/>
    <cellStyle name="Normal 23 34" xfId="9536"/>
    <cellStyle name="Normal 23 34 2" xfId="9537"/>
    <cellStyle name="Normal 23 35" xfId="9538"/>
    <cellStyle name="Normal 23 36" xfId="18660"/>
    <cellStyle name="Normal 23 4" xfId="9539"/>
    <cellStyle name="Normal 23 4 2" xfId="9540"/>
    <cellStyle name="Normal 23 4 3" xfId="9541"/>
    <cellStyle name="Normal 23 4 4" xfId="9542"/>
    <cellStyle name="Normal 23 5" xfId="9543"/>
    <cellStyle name="Normal 23 5 2" xfId="9544"/>
    <cellStyle name="Normal 23 5 3" xfId="9545"/>
    <cellStyle name="Normal 23 5 4" xfId="9546"/>
    <cellStyle name="Normal 23 6" xfId="9547"/>
    <cellStyle name="Normal 23 6 2" xfId="9548"/>
    <cellStyle name="Normal 23 6 3" xfId="9549"/>
    <cellStyle name="Normal 23 6 4" xfId="9550"/>
    <cellStyle name="Normal 23 7" xfId="9551"/>
    <cellStyle name="Normal 23 7 2" xfId="9552"/>
    <cellStyle name="Normal 23 7 3" xfId="9553"/>
    <cellStyle name="Normal 23 7 4" xfId="9554"/>
    <cellStyle name="Normal 23 8" xfId="9555"/>
    <cellStyle name="Normal 23 8 2" xfId="9556"/>
    <cellStyle name="Normal 23 8 3" xfId="9557"/>
    <cellStyle name="Normal 23 8 4" xfId="9558"/>
    <cellStyle name="Normal 23 9" xfId="9559"/>
    <cellStyle name="Normal 23 9 2" xfId="9560"/>
    <cellStyle name="Normal 23 9 3" xfId="9561"/>
    <cellStyle name="Normal 23 9 4" xfId="9562"/>
    <cellStyle name="Normal 230" xfId="18439"/>
    <cellStyle name="Normal 231" xfId="18440"/>
    <cellStyle name="Normal 232" xfId="18441"/>
    <cellStyle name="Normal 233" xfId="18442"/>
    <cellStyle name="Normal 234" xfId="18443"/>
    <cellStyle name="Normal 235" xfId="18444"/>
    <cellStyle name="Normal 236" xfId="18445"/>
    <cellStyle name="Normal 237" xfId="18446"/>
    <cellStyle name="Normal 238" xfId="18447"/>
    <cellStyle name="Normal 239" xfId="18448"/>
    <cellStyle name="Normal 24" xfId="9563"/>
    <cellStyle name="Normal 24 10" xfId="9564"/>
    <cellStyle name="Normal 24 11" xfId="9565"/>
    <cellStyle name="Normal 24 11 2" xfId="9566"/>
    <cellStyle name="Normal 24 11 2 2" xfId="9567"/>
    <cellStyle name="Normal 24 11 2 2 2" xfId="9568"/>
    <cellStyle name="Normal 24 11 2 3" xfId="9569"/>
    <cellStyle name="Normal 24 11 3" xfId="9570"/>
    <cellStyle name="Normal 24 11 3 2" xfId="9571"/>
    <cellStyle name="Normal 24 11 3 2 2" xfId="9572"/>
    <cellStyle name="Normal 24 11 3 3" xfId="9573"/>
    <cellStyle name="Normal 24 11 4" xfId="9574"/>
    <cellStyle name="Normal 24 11 4 2" xfId="9575"/>
    <cellStyle name="Normal 24 11 5" xfId="9576"/>
    <cellStyle name="Normal 24 12" xfId="9577"/>
    <cellStyle name="Normal 24 13" xfId="9578"/>
    <cellStyle name="Normal 24 13 2" xfId="9579"/>
    <cellStyle name="Normal 24 13 2 2" xfId="9580"/>
    <cellStyle name="Normal 24 13 3" xfId="9581"/>
    <cellStyle name="Normal 24 14" xfId="9582"/>
    <cellStyle name="Normal 24 14 2" xfId="9583"/>
    <cellStyle name="Normal 24 14 2 2" xfId="9584"/>
    <cellStyle name="Normal 24 14 3" xfId="9585"/>
    <cellStyle name="Normal 24 15" xfId="9586"/>
    <cellStyle name="Normal 24 15 2" xfId="9587"/>
    <cellStyle name="Normal 24 16" xfId="9588"/>
    <cellStyle name="Normal 24 2" xfId="9589"/>
    <cellStyle name="Normal 24 2 10" xfId="9590"/>
    <cellStyle name="Normal 24 2 10 2" xfId="9591"/>
    <cellStyle name="Normal 24 2 11" xfId="9592"/>
    <cellStyle name="Normal 24 2 2" xfId="9593"/>
    <cellStyle name="Normal 24 2 2 2" xfId="9594"/>
    <cellStyle name="Normal 24 2 2 2 2" xfId="9595"/>
    <cellStyle name="Normal 24 2 2 2 2 2" xfId="9596"/>
    <cellStyle name="Normal 24 2 2 2 2 2 2" xfId="9597"/>
    <cellStyle name="Normal 24 2 2 2 2 3" xfId="9598"/>
    <cellStyle name="Normal 24 2 2 2 3" xfId="9599"/>
    <cellStyle name="Normal 24 2 2 2 3 2" xfId="9600"/>
    <cellStyle name="Normal 24 2 2 2 3 2 2" xfId="9601"/>
    <cellStyle name="Normal 24 2 2 2 3 3" xfId="9602"/>
    <cellStyle name="Normal 24 2 2 2 4" xfId="9603"/>
    <cellStyle name="Normal 24 2 2 2 4 2" xfId="9604"/>
    <cellStyle name="Normal 24 2 2 2 5" xfId="9605"/>
    <cellStyle name="Normal 24 2 2 3" xfId="9606"/>
    <cellStyle name="Normal 24 2 2 3 2" xfId="9607"/>
    <cellStyle name="Normal 24 2 2 3 2 2" xfId="9608"/>
    <cellStyle name="Normal 24 2 2 3 2 2 2" xfId="9609"/>
    <cellStyle name="Normal 24 2 2 3 2 3" xfId="9610"/>
    <cellStyle name="Normal 24 2 2 3 3" xfId="9611"/>
    <cellStyle name="Normal 24 2 2 3 3 2" xfId="9612"/>
    <cellStyle name="Normal 24 2 2 3 3 2 2" xfId="9613"/>
    <cellStyle name="Normal 24 2 2 3 3 3" xfId="9614"/>
    <cellStyle name="Normal 24 2 2 3 4" xfId="9615"/>
    <cellStyle name="Normal 24 2 2 3 4 2" xfId="9616"/>
    <cellStyle name="Normal 24 2 2 3 5" xfId="9617"/>
    <cellStyle name="Normal 24 2 2 4" xfId="9618"/>
    <cellStyle name="Normal 24 2 2 4 2" xfId="9619"/>
    <cellStyle name="Normal 24 2 2 4 2 2" xfId="9620"/>
    <cellStyle name="Normal 24 2 2 4 2 2 2" xfId="9621"/>
    <cellStyle name="Normal 24 2 2 4 2 3" xfId="9622"/>
    <cellStyle name="Normal 24 2 2 4 3" xfId="9623"/>
    <cellStyle name="Normal 24 2 2 4 3 2" xfId="9624"/>
    <cellStyle name="Normal 24 2 2 4 3 2 2" xfId="9625"/>
    <cellStyle name="Normal 24 2 2 4 3 3" xfId="9626"/>
    <cellStyle name="Normal 24 2 2 4 4" xfId="9627"/>
    <cellStyle name="Normal 24 2 2 4 4 2" xfId="9628"/>
    <cellStyle name="Normal 24 2 2 4 5" xfId="9629"/>
    <cellStyle name="Normal 24 2 2 5" xfId="9630"/>
    <cellStyle name="Normal 24 2 2 5 2" xfId="9631"/>
    <cellStyle name="Normal 24 2 2 5 2 2" xfId="9632"/>
    <cellStyle name="Normal 24 2 2 5 3" xfId="9633"/>
    <cellStyle name="Normal 24 2 2 6" xfId="9634"/>
    <cellStyle name="Normal 24 2 2 6 2" xfId="9635"/>
    <cellStyle name="Normal 24 2 2 6 2 2" xfId="9636"/>
    <cellStyle name="Normal 24 2 2 6 3" xfId="9637"/>
    <cellStyle name="Normal 24 2 2 7" xfId="9638"/>
    <cellStyle name="Normal 24 2 2 7 2" xfId="9639"/>
    <cellStyle name="Normal 24 2 2 8" xfId="9640"/>
    <cellStyle name="Normal 24 2 3" xfId="9641"/>
    <cellStyle name="Normal 24 2 3 2" xfId="9642"/>
    <cellStyle name="Normal 24 2 3 3" xfId="9643"/>
    <cellStyle name="Normal 24 2 3 3 2" xfId="9644"/>
    <cellStyle name="Normal 24 2 3 3 2 2" xfId="9645"/>
    <cellStyle name="Normal 24 2 3 3 3" xfId="9646"/>
    <cellStyle name="Normal 24 2 3 4" xfId="9647"/>
    <cellStyle name="Normal 24 2 3 4 2" xfId="9648"/>
    <cellStyle name="Normal 24 2 3 4 2 2" xfId="9649"/>
    <cellStyle name="Normal 24 2 3 4 3" xfId="9650"/>
    <cellStyle name="Normal 24 2 3 5" xfId="9651"/>
    <cellStyle name="Normal 24 2 3 5 2" xfId="9652"/>
    <cellStyle name="Normal 24 2 3 6" xfId="9653"/>
    <cellStyle name="Normal 24 2 4" xfId="9654"/>
    <cellStyle name="Normal 24 2 4 2" xfId="9655"/>
    <cellStyle name="Normal 24 2 4 2 2" xfId="9656"/>
    <cellStyle name="Normal 24 2 4 2 2 2" xfId="9657"/>
    <cellStyle name="Normal 24 2 4 2 3" xfId="9658"/>
    <cellStyle name="Normal 24 2 4 3" xfId="9659"/>
    <cellStyle name="Normal 24 2 4 3 2" xfId="9660"/>
    <cellStyle name="Normal 24 2 4 3 2 2" xfId="9661"/>
    <cellStyle name="Normal 24 2 4 3 3" xfId="9662"/>
    <cellStyle name="Normal 24 2 4 4" xfId="9663"/>
    <cellStyle name="Normal 24 2 4 4 2" xfId="9664"/>
    <cellStyle name="Normal 24 2 4 5" xfId="9665"/>
    <cellStyle name="Normal 24 2 5" xfId="9666"/>
    <cellStyle name="Normal 24 2 5 2" xfId="9667"/>
    <cellStyle name="Normal 24 2 5 2 2" xfId="9668"/>
    <cellStyle name="Normal 24 2 5 2 2 2" xfId="9669"/>
    <cellStyle name="Normal 24 2 5 2 3" xfId="9670"/>
    <cellStyle name="Normal 24 2 5 3" xfId="9671"/>
    <cellStyle name="Normal 24 2 5 3 2" xfId="9672"/>
    <cellStyle name="Normal 24 2 5 3 2 2" xfId="9673"/>
    <cellStyle name="Normal 24 2 5 3 3" xfId="9674"/>
    <cellStyle name="Normal 24 2 5 4" xfId="9675"/>
    <cellStyle name="Normal 24 2 5 4 2" xfId="9676"/>
    <cellStyle name="Normal 24 2 5 5" xfId="9677"/>
    <cellStyle name="Normal 24 2 6" xfId="9678"/>
    <cellStyle name="Normal 24 2 6 2" xfId="9679"/>
    <cellStyle name="Normal 24 2 6 2 2" xfId="9680"/>
    <cellStyle name="Normal 24 2 6 3" xfId="9681"/>
    <cellStyle name="Normal 24 2 7" xfId="9682"/>
    <cellStyle name="Normal 24 2 7 2" xfId="9683"/>
    <cellStyle name="Normal 24 2 7 2 2" xfId="9684"/>
    <cellStyle name="Normal 24 2 7 3" xfId="9685"/>
    <cellStyle name="Normal 24 2 8" xfId="9686"/>
    <cellStyle name="Normal 24 2 8 2" xfId="9687"/>
    <cellStyle name="Normal 24 2 8 2 2" xfId="9688"/>
    <cellStyle name="Normal 24 2 8 3" xfId="9689"/>
    <cellStyle name="Normal 24 2 9" xfId="9690"/>
    <cellStyle name="Normal 24 2 9 2" xfId="9691"/>
    <cellStyle name="Normal 24 2 9 2 2" xfId="9692"/>
    <cellStyle name="Normal 24 2 9 3" xfId="9693"/>
    <cellStyle name="Normal 24 3" xfId="9694"/>
    <cellStyle name="Normal 24 3 10" xfId="9695"/>
    <cellStyle name="Normal 24 3 10 2" xfId="9696"/>
    <cellStyle name="Normal 24 3 11" xfId="9697"/>
    <cellStyle name="Normal 24 3 2" xfId="9698"/>
    <cellStyle name="Normal 24 3 2 2" xfId="9699"/>
    <cellStyle name="Normal 24 3 2 2 2" xfId="9700"/>
    <cellStyle name="Normal 24 3 2 2 2 2" xfId="9701"/>
    <cellStyle name="Normal 24 3 2 2 2 2 2" xfId="9702"/>
    <cellStyle name="Normal 24 3 2 2 2 3" xfId="9703"/>
    <cellStyle name="Normal 24 3 2 2 3" xfId="9704"/>
    <cellStyle name="Normal 24 3 2 2 3 2" xfId="9705"/>
    <cellStyle name="Normal 24 3 2 2 3 2 2" xfId="9706"/>
    <cellStyle name="Normal 24 3 2 2 3 3" xfId="9707"/>
    <cellStyle name="Normal 24 3 2 2 4" xfId="9708"/>
    <cellStyle name="Normal 24 3 2 2 4 2" xfId="9709"/>
    <cellStyle name="Normal 24 3 2 2 5" xfId="9710"/>
    <cellStyle name="Normal 24 3 2 3" xfId="9711"/>
    <cellStyle name="Normal 24 3 2 3 2" xfId="9712"/>
    <cellStyle name="Normal 24 3 2 3 2 2" xfId="9713"/>
    <cellStyle name="Normal 24 3 2 3 2 2 2" xfId="9714"/>
    <cellStyle name="Normal 24 3 2 3 2 3" xfId="9715"/>
    <cellStyle name="Normal 24 3 2 3 3" xfId="9716"/>
    <cellStyle name="Normal 24 3 2 3 3 2" xfId="9717"/>
    <cellStyle name="Normal 24 3 2 3 3 2 2" xfId="9718"/>
    <cellStyle name="Normal 24 3 2 3 3 3" xfId="9719"/>
    <cellStyle name="Normal 24 3 2 3 4" xfId="9720"/>
    <cellStyle name="Normal 24 3 2 3 4 2" xfId="9721"/>
    <cellStyle name="Normal 24 3 2 3 5" xfId="9722"/>
    <cellStyle name="Normal 24 3 2 4" xfId="9723"/>
    <cellStyle name="Normal 24 3 2 4 2" xfId="9724"/>
    <cellStyle name="Normal 24 3 2 4 2 2" xfId="9725"/>
    <cellStyle name="Normal 24 3 2 4 2 2 2" xfId="9726"/>
    <cellStyle name="Normal 24 3 2 4 2 3" xfId="9727"/>
    <cellStyle name="Normal 24 3 2 4 3" xfId="9728"/>
    <cellStyle name="Normal 24 3 2 4 3 2" xfId="9729"/>
    <cellStyle name="Normal 24 3 2 4 3 2 2" xfId="9730"/>
    <cellStyle name="Normal 24 3 2 4 3 3" xfId="9731"/>
    <cellStyle name="Normal 24 3 2 4 4" xfId="9732"/>
    <cellStyle name="Normal 24 3 2 4 4 2" xfId="9733"/>
    <cellStyle name="Normal 24 3 2 4 5" xfId="9734"/>
    <cellStyle name="Normal 24 3 2 5" xfId="9735"/>
    <cellStyle name="Normal 24 3 2 5 2" xfId="9736"/>
    <cellStyle name="Normal 24 3 2 5 2 2" xfId="9737"/>
    <cellStyle name="Normal 24 3 2 5 3" xfId="9738"/>
    <cellStyle name="Normal 24 3 2 6" xfId="9739"/>
    <cellStyle name="Normal 24 3 2 6 2" xfId="9740"/>
    <cellStyle name="Normal 24 3 2 6 2 2" xfId="9741"/>
    <cellStyle name="Normal 24 3 2 6 3" xfId="9742"/>
    <cellStyle name="Normal 24 3 2 7" xfId="9743"/>
    <cellStyle name="Normal 24 3 2 7 2" xfId="9744"/>
    <cellStyle name="Normal 24 3 2 8" xfId="9745"/>
    <cellStyle name="Normal 24 3 3" xfId="9746"/>
    <cellStyle name="Normal 24 3 3 2" xfId="9747"/>
    <cellStyle name="Normal 24 3 3 3" xfId="9748"/>
    <cellStyle name="Normal 24 3 3 3 2" xfId="9749"/>
    <cellStyle name="Normal 24 3 3 3 2 2" xfId="9750"/>
    <cellStyle name="Normal 24 3 3 3 3" xfId="9751"/>
    <cellStyle name="Normal 24 3 3 4" xfId="9752"/>
    <cellStyle name="Normal 24 3 3 4 2" xfId="9753"/>
    <cellStyle name="Normal 24 3 3 4 2 2" xfId="9754"/>
    <cellStyle name="Normal 24 3 3 4 3" xfId="9755"/>
    <cellStyle name="Normal 24 3 3 5" xfId="9756"/>
    <cellStyle name="Normal 24 3 3 5 2" xfId="9757"/>
    <cellStyle name="Normal 24 3 3 6" xfId="9758"/>
    <cellStyle name="Normal 24 3 4" xfId="9759"/>
    <cellStyle name="Normal 24 3 4 2" xfId="9760"/>
    <cellStyle name="Normal 24 3 4 2 2" xfId="9761"/>
    <cellStyle name="Normal 24 3 4 2 2 2" xfId="9762"/>
    <cellStyle name="Normal 24 3 4 2 3" xfId="9763"/>
    <cellStyle name="Normal 24 3 4 3" xfId="9764"/>
    <cellStyle name="Normal 24 3 4 3 2" xfId="9765"/>
    <cellStyle name="Normal 24 3 4 3 2 2" xfId="9766"/>
    <cellStyle name="Normal 24 3 4 3 3" xfId="9767"/>
    <cellStyle name="Normal 24 3 4 4" xfId="9768"/>
    <cellStyle name="Normal 24 3 4 4 2" xfId="9769"/>
    <cellStyle name="Normal 24 3 4 5" xfId="9770"/>
    <cellStyle name="Normal 24 3 5" xfId="9771"/>
    <cellStyle name="Normal 24 3 5 2" xfId="9772"/>
    <cellStyle name="Normal 24 3 5 2 2" xfId="9773"/>
    <cellStyle name="Normal 24 3 5 2 2 2" xfId="9774"/>
    <cellStyle name="Normal 24 3 5 2 3" xfId="9775"/>
    <cellStyle name="Normal 24 3 5 3" xfId="9776"/>
    <cellStyle name="Normal 24 3 5 3 2" xfId="9777"/>
    <cellStyle name="Normal 24 3 5 3 2 2" xfId="9778"/>
    <cellStyle name="Normal 24 3 5 3 3" xfId="9779"/>
    <cellStyle name="Normal 24 3 5 4" xfId="9780"/>
    <cellStyle name="Normal 24 3 5 4 2" xfId="9781"/>
    <cellStyle name="Normal 24 3 5 5" xfId="9782"/>
    <cellStyle name="Normal 24 3 6" xfId="9783"/>
    <cellStyle name="Normal 24 3 6 2" xfId="9784"/>
    <cellStyle name="Normal 24 3 6 2 2" xfId="9785"/>
    <cellStyle name="Normal 24 3 6 3" xfId="9786"/>
    <cellStyle name="Normal 24 3 7" xfId="9787"/>
    <cellStyle name="Normal 24 3 7 2" xfId="9788"/>
    <cellStyle name="Normal 24 3 7 2 2" xfId="9789"/>
    <cellStyle name="Normal 24 3 7 3" xfId="9790"/>
    <cellStyle name="Normal 24 3 8" xfId="9791"/>
    <cellStyle name="Normal 24 3 8 2" xfId="9792"/>
    <cellStyle name="Normal 24 3 8 2 2" xfId="9793"/>
    <cellStyle name="Normal 24 3 8 3" xfId="9794"/>
    <cellStyle name="Normal 24 3 9" xfId="9795"/>
    <cellStyle name="Normal 24 3 9 2" xfId="9796"/>
    <cellStyle name="Normal 24 3 9 2 2" xfId="9797"/>
    <cellStyle name="Normal 24 3 9 3" xfId="9798"/>
    <cellStyle name="Normal 24 4" xfId="9799"/>
    <cellStyle name="Normal 24 4 2" xfId="9800"/>
    <cellStyle name="Normal 24 4 2 2" xfId="9801"/>
    <cellStyle name="Normal 24 4 2 3" xfId="9802"/>
    <cellStyle name="Normal 24 4 2 3 2" xfId="9803"/>
    <cellStyle name="Normal 24 4 2 3 2 2" xfId="9804"/>
    <cellStyle name="Normal 24 4 2 3 3" xfId="9805"/>
    <cellStyle name="Normal 24 4 2 4" xfId="9806"/>
    <cellStyle name="Normal 24 4 2 4 2" xfId="9807"/>
    <cellStyle name="Normal 24 4 2 4 2 2" xfId="9808"/>
    <cellStyle name="Normal 24 4 2 4 3" xfId="9809"/>
    <cellStyle name="Normal 24 4 2 5" xfId="9810"/>
    <cellStyle name="Normal 24 4 2 5 2" xfId="9811"/>
    <cellStyle name="Normal 24 4 2 6" xfId="9812"/>
    <cellStyle name="Normal 24 4 3" xfId="9813"/>
    <cellStyle name="Normal 24 4 3 2" xfId="9814"/>
    <cellStyle name="Normal 24 4 3 2 2" xfId="9815"/>
    <cellStyle name="Normal 24 4 3 2 2 2" xfId="9816"/>
    <cellStyle name="Normal 24 4 3 2 3" xfId="9817"/>
    <cellStyle name="Normal 24 4 3 3" xfId="9818"/>
    <cellStyle name="Normal 24 4 3 3 2" xfId="9819"/>
    <cellStyle name="Normal 24 4 3 3 2 2" xfId="9820"/>
    <cellStyle name="Normal 24 4 3 3 3" xfId="9821"/>
    <cellStyle name="Normal 24 4 3 4" xfId="9822"/>
    <cellStyle name="Normal 24 4 3 4 2" xfId="9823"/>
    <cellStyle name="Normal 24 4 3 5" xfId="9824"/>
    <cellStyle name="Normal 24 4 4" xfId="9825"/>
    <cellStyle name="Normal 24 4 4 2" xfId="9826"/>
    <cellStyle name="Normal 24 4 4 2 2" xfId="9827"/>
    <cellStyle name="Normal 24 4 4 2 2 2" xfId="9828"/>
    <cellStyle name="Normal 24 4 4 2 3" xfId="9829"/>
    <cellStyle name="Normal 24 4 4 3" xfId="9830"/>
    <cellStyle name="Normal 24 4 4 3 2" xfId="9831"/>
    <cellStyle name="Normal 24 4 4 3 2 2" xfId="9832"/>
    <cellStyle name="Normal 24 4 4 3 3" xfId="9833"/>
    <cellStyle name="Normal 24 4 4 4" xfId="9834"/>
    <cellStyle name="Normal 24 4 4 4 2" xfId="9835"/>
    <cellStyle name="Normal 24 4 4 5" xfId="9836"/>
    <cellStyle name="Normal 24 4 5" xfId="9837"/>
    <cellStyle name="Normal 24 4 5 2" xfId="9838"/>
    <cellStyle name="Normal 24 4 5 2 2" xfId="9839"/>
    <cellStyle name="Normal 24 4 5 3" xfId="9840"/>
    <cellStyle name="Normal 24 4 6" xfId="9841"/>
    <cellStyle name="Normal 24 4 6 2" xfId="9842"/>
    <cellStyle name="Normal 24 4 6 2 2" xfId="9843"/>
    <cellStyle name="Normal 24 4 6 3" xfId="9844"/>
    <cellStyle name="Normal 24 4 7" xfId="9845"/>
    <cellStyle name="Normal 24 4 7 2" xfId="9846"/>
    <cellStyle name="Normal 24 4 8" xfId="9847"/>
    <cellStyle name="Normal 24 5" xfId="9848"/>
    <cellStyle name="Normal 24 5 2" xfId="9849"/>
    <cellStyle name="Normal 24 5 3" xfId="9850"/>
    <cellStyle name="Normal 24 5 3 2" xfId="9851"/>
    <cellStyle name="Normal 24 5 3 2 2" xfId="9852"/>
    <cellStyle name="Normal 24 5 3 3" xfId="9853"/>
    <cellStyle name="Normal 24 5 4" xfId="9854"/>
    <cellStyle name="Normal 24 5 4 2" xfId="9855"/>
    <cellStyle name="Normal 24 5 4 2 2" xfId="9856"/>
    <cellStyle name="Normal 24 5 4 3" xfId="9857"/>
    <cellStyle name="Normal 24 5 5" xfId="9858"/>
    <cellStyle name="Normal 24 5 5 2" xfId="9859"/>
    <cellStyle name="Normal 24 5 6" xfId="9860"/>
    <cellStyle name="Normal 24 6" xfId="9861"/>
    <cellStyle name="Normal 24 6 2" xfId="9862"/>
    <cellStyle name="Normal 24 6 3" xfId="9863"/>
    <cellStyle name="Normal 24 6 3 2" xfId="9864"/>
    <cellStyle name="Normal 24 6 3 2 2" xfId="9865"/>
    <cellStyle name="Normal 24 6 3 3" xfId="9866"/>
    <cellStyle name="Normal 24 6 4" xfId="9867"/>
    <cellStyle name="Normal 24 6 4 2" xfId="9868"/>
    <cellStyle name="Normal 24 6 4 2 2" xfId="9869"/>
    <cellStyle name="Normal 24 6 4 3" xfId="9870"/>
    <cellStyle name="Normal 24 6 5" xfId="9871"/>
    <cellStyle name="Normal 24 6 5 2" xfId="9872"/>
    <cellStyle name="Normal 24 6 6" xfId="9873"/>
    <cellStyle name="Normal 24 7" xfId="9874"/>
    <cellStyle name="Normal 24 8" xfId="9875"/>
    <cellStyle name="Normal 24 9" xfId="9876"/>
    <cellStyle name="Normal 240" xfId="18449"/>
    <cellStyle name="Normal 241" xfId="18450"/>
    <cellStyle name="Normal 242" xfId="18451"/>
    <cellStyle name="Normal 243" xfId="18452"/>
    <cellStyle name="Normal 244" xfId="18453"/>
    <cellStyle name="Normal 245" xfId="18454"/>
    <cellStyle name="Normal 246" xfId="18455"/>
    <cellStyle name="Normal 247" xfId="18456"/>
    <cellStyle name="Normal 248" xfId="18457"/>
    <cellStyle name="Normal 249" xfId="18458"/>
    <cellStyle name="Normal 25" xfId="9877"/>
    <cellStyle name="Normal 25 10" xfId="9878"/>
    <cellStyle name="Normal 25 11" xfId="9879"/>
    <cellStyle name="Normal 25 11 2" xfId="9880"/>
    <cellStyle name="Normal 25 11 2 2" xfId="9881"/>
    <cellStyle name="Normal 25 11 2 2 2" xfId="9882"/>
    <cellStyle name="Normal 25 11 2 3" xfId="9883"/>
    <cellStyle name="Normal 25 11 3" xfId="9884"/>
    <cellStyle name="Normal 25 11 3 2" xfId="9885"/>
    <cellStyle name="Normal 25 11 3 2 2" xfId="9886"/>
    <cellStyle name="Normal 25 11 3 3" xfId="9887"/>
    <cellStyle name="Normal 25 11 4" xfId="9888"/>
    <cellStyle name="Normal 25 11 4 2" xfId="9889"/>
    <cellStyle name="Normal 25 11 5" xfId="9890"/>
    <cellStyle name="Normal 25 12" xfId="9891"/>
    <cellStyle name="Normal 25 13" xfId="9892"/>
    <cellStyle name="Normal 25 13 2" xfId="9893"/>
    <cellStyle name="Normal 25 13 2 2" xfId="9894"/>
    <cellStyle name="Normal 25 13 3" xfId="9895"/>
    <cellStyle name="Normal 25 14" xfId="9896"/>
    <cellStyle name="Normal 25 14 2" xfId="9897"/>
    <cellStyle name="Normal 25 14 2 2" xfId="9898"/>
    <cellStyle name="Normal 25 14 3" xfId="9899"/>
    <cellStyle name="Normal 25 15" xfId="9900"/>
    <cellStyle name="Normal 25 15 2" xfId="9901"/>
    <cellStyle name="Normal 25 16" xfId="9902"/>
    <cellStyle name="Normal 25 17" xfId="18459"/>
    <cellStyle name="Normal 25 18" xfId="18460"/>
    <cellStyle name="Normal 25 2" xfId="9903"/>
    <cellStyle name="Normal 25 2 10" xfId="9904"/>
    <cellStyle name="Normal 25 2 10 2" xfId="9905"/>
    <cellStyle name="Normal 25 2 11" xfId="9906"/>
    <cellStyle name="Normal 25 2 2" xfId="9907"/>
    <cellStyle name="Normal 25 2 2 2" xfId="9908"/>
    <cellStyle name="Normal 25 2 2 2 2" xfId="9909"/>
    <cellStyle name="Normal 25 2 2 2 2 2" xfId="9910"/>
    <cellStyle name="Normal 25 2 2 2 2 2 2" xfId="9911"/>
    <cellStyle name="Normal 25 2 2 2 2 3" xfId="9912"/>
    <cellStyle name="Normal 25 2 2 2 3" xfId="9913"/>
    <cellStyle name="Normal 25 2 2 2 3 2" xfId="9914"/>
    <cellStyle name="Normal 25 2 2 2 3 2 2" xfId="9915"/>
    <cellStyle name="Normal 25 2 2 2 3 3" xfId="9916"/>
    <cellStyle name="Normal 25 2 2 2 4" xfId="9917"/>
    <cellStyle name="Normal 25 2 2 2 4 2" xfId="9918"/>
    <cellStyle name="Normal 25 2 2 2 5" xfId="9919"/>
    <cellStyle name="Normal 25 2 2 3" xfId="9920"/>
    <cellStyle name="Normal 25 2 2 3 2" xfId="9921"/>
    <cellStyle name="Normal 25 2 2 3 2 2" xfId="9922"/>
    <cellStyle name="Normal 25 2 2 3 2 2 2" xfId="9923"/>
    <cellStyle name="Normal 25 2 2 3 2 3" xfId="9924"/>
    <cellStyle name="Normal 25 2 2 3 3" xfId="9925"/>
    <cellStyle name="Normal 25 2 2 3 3 2" xfId="9926"/>
    <cellStyle name="Normal 25 2 2 3 3 2 2" xfId="9927"/>
    <cellStyle name="Normal 25 2 2 3 3 3" xfId="9928"/>
    <cellStyle name="Normal 25 2 2 3 4" xfId="9929"/>
    <cellStyle name="Normal 25 2 2 3 4 2" xfId="9930"/>
    <cellStyle name="Normal 25 2 2 3 5" xfId="9931"/>
    <cellStyle name="Normal 25 2 2 4" xfId="9932"/>
    <cellStyle name="Normal 25 2 2 4 2" xfId="9933"/>
    <cellStyle name="Normal 25 2 2 4 2 2" xfId="9934"/>
    <cellStyle name="Normal 25 2 2 4 2 2 2" xfId="9935"/>
    <cellStyle name="Normal 25 2 2 4 2 3" xfId="9936"/>
    <cellStyle name="Normal 25 2 2 4 3" xfId="9937"/>
    <cellStyle name="Normal 25 2 2 4 3 2" xfId="9938"/>
    <cellStyle name="Normal 25 2 2 4 3 2 2" xfId="9939"/>
    <cellStyle name="Normal 25 2 2 4 3 3" xfId="9940"/>
    <cellStyle name="Normal 25 2 2 4 4" xfId="9941"/>
    <cellStyle name="Normal 25 2 2 4 4 2" xfId="9942"/>
    <cellStyle name="Normal 25 2 2 4 5" xfId="9943"/>
    <cellStyle name="Normal 25 2 2 5" xfId="9944"/>
    <cellStyle name="Normal 25 2 2 5 2" xfId="9945"/>
    <cellStyle name="Normal 25 2 2 5 2 2" xfId="9946"/>
    <cellStyle name="Normal 25 2 2 5 3" xfId="9947"/>
    <cellStyle name="Normal 25 2 2 6" xfId="9948"/>
    <cellStyle name="Normal 25 2 2 6 2" xfId="9949"/>
    <cellStyle name="Normal 25 2 2 6 2 2" xfId="9950"/>
    <cellStyle name="Normal 25 2 2 6 3" xfId="9951"/>
    <cellStyle name="Normal 25 2 2 7" xfId="9952"/>
    <cellStyle name="Normal 25 2 2 7 2" xfId="9953"/>
    <cellStyle name="Normal 25 2 2 8" xfId="9954"/>
    <cellStyle name="Normal 25 2 3" xfId="9955"/>
    <cellStyle name="Normal 25 2 3 2" xfId="9956"/>
    <cellStyle name="Normal 25 2 3 3" xfId="9957"/>
    <cellStyle name="Normal 25 2 3 3 2" xfId="9958"/>
    <cellStyle name="Normal 25 2 3 3 2 2" xfId="9959"/>
    <cellStyle name="Normal 25 2 3 3 3" xfId="9960"/>
    <cellStyle name="Normal 25 2 3 4" xfId="9961"/>
    <cellStyle name="Normal 25 2 3 4 2" xfId="9962"/>
    <cellStyle name="Normal 25 2 3 4 2 2" xfId="9963"/>
    <cellStyle name="Normal 25 2 3 4 3" xfId="9964"/>
    <cellStyle name="Normal 25 2 3 5" xfId="9965"/>
    <cellStyle name="Normal 25 2 3 5 2" xfId="9966"/>
    <cellStyle name="Normal 25 2 3 6" xfId="9967"/>
    <cellStyle name="Normal 25 2 4" xfId="9968"/>
    <cellStyle name="Normal 25 2 4 2" xfId="9969"/>
    <cellStyle name="Normal 25 2 4 2 2" xfId="9970"/>
    <cellStyle name="Normal 25 2 4 2 2 2" xfId="9971"/>
    <cellStyle name="Normal 25 2 4 2 3" xfId="9972"/>
    <cellStyle name="Normal 25 2 4 3" xfId="9973"/>
    <cellStyle name="Normal 25 2 4 3 2" xfId="9974"/>
    <cellStyle name="Normal 25 2 4 3 2 2" xfId="9975"/>
    <cellStyle name="Normal 25 2 4 3 3" xfId="9976"/>
    <cellStyle name="Normal 25 2 4 4" xfId="9977"/>
    <cellStyle name="Normal 25 2 4 4 2" xfId="9978"/>
    <cellStyle name="Normal 25 2 4 5" xfId="9979"/>
    <cellStyle name="Normal 25 2 5" xfId="9980"/>
    <cellStyle name="Normal 25 2 5 2" xfId="9981"/>
    <cellStyle name="Normal 25 2 5 2 2" xfId="9982"/>
    <cellStyle name="Normal 25 2 5 2 2 2" xfId="9983"/>
    <cellStyle name="Normal 25 2 5 2 3" xfId="9984"/>
    <cellStyle name="Normal 25 2 5 3" xfId="9985"/>
    <cellStyle name="Normal 25 2 5 3 2" xfId="9986"/>
    <cellStyle name="Normal 25 2 5 3 2 2" xfId="9987"/>
    <cellStyle name="Normal 25 2 5 3 3" xfId="9988"/>
    <cellStyle name="Normal 25 2 5 4" xfId="9989"/>
    <cellStyle name="Normal 25 2 5 4 2" xfId="9990"/>
    <cellStyle name="Normal 25 2 5 5" xfId="9991"/>
    <cellStyle name="Normal 25 2 6" xfId="9992"/>
    <cellStyle name="Normal 25 2 6 2" xfId="9993"/>
    <cellStyle name="Normal 25 2 6 2 2" xfId="9994"/>
    <cellStyle name="Normal 25 2 6 3" xfId="9995"/>
    <cellStyle name="Normal 25 2 7" xfId="9996"/>
    <cellStyle name="Normal 25 2 7 2" xfId="9997"/>
    <cellStyle name="Normal 25 2 7 2 2" xfId="9998"/>
    <cellStyle name="Normal 25 2 7 3" xfId="9999"/>
    <cellStyle name="Normal 25 2 8" xfId="10000"/>
    <cellStyle name="Normal 25 2 8 2" xfId="10001"/>
    <cellStyle name="Normal 25 2 8 2 2" xfId="10002"/>
    <cellStyle name="Normal 25 2 8 3" xfId="10003"/>
    <cellStyle name="Normal 25 2 9" xfId="10004"/>
    <cellStyle name="Normal 25 2 9 2" xfId="10005"/>
    <cellStyle name="Normal 25 2 9 2 2" xfId="10006"/>
    <cellStyle name="Normal 25 2 9 3" xfId="10007"/>
    <cellStyle name="Normal 25 3" xfId="10008"/>
    <cellStyle name="Normal 25 3 10" xfId="10009"/>
    <cellStyle name="Normal 25 3 10 2" xfId="10010"/>
    <cellStyle name="Normal 25 3 11" xfId="10011"/>
    <cellStyle name="Normal 25 3 2" xfId="10012"/>
    <cellStyle name="Normal 25 3 2 2" xfId="10013"/>
    <cellStyle name="Normal 25 3 2 2 2" xfId="10014"/>
    <cellStyle name="Normal 25 3 2 2 2 2" xfId="10015"/>
    <cellStyle name="Normal 25 3 2 2 2 2 2" xfId="10016"/>
    <cellStyle name="Normal 25 3 2 2 2 3" xfId="10017"/>
    <cellStyle name="Normal 25 3 2 2 3" xfId="10018"/>
    <cellStyle name="Normal 25 3 2 2 3 2" xfId="10019"/>
    <cellStyle name="Normal 25 3 2 2 3 2 2" xfId="10020"/>
    <cellStyle name="Normal 25 3 2 2 3 3" xfId="10021"/>
    <cellStyle name="Normal 25 3 2 2 4" xfId="10022"/>
    <cellStyle name="Normal 25 3 2 2 4 2" xfId="10023"/>
    <cellStyle name="Normal 25 3 2 2 5" xfId="10024"/>
    <cellStyle name="Normal 25 3 2 3" xfId="10025"/>
    <cellStyle name="Normal 25 3 2 3 2" xfId="10026"/>
    <cellStyle name="Normal 25 3 2 3 2 2" xfId="10027"/>
    <cellStyle name="Normal 25 3 2 3 2 2 2" xfId="10028"/>
    <cellStyle name="Normal 25 3 2 3 2 3" xfId="10029"/>
    <cellStyle name="Normal 25 3 2 3 3" xfId="10030"/>
    <cellStyle name="Normal 25 3 2 3 3 2" xfId="10031"/>
    <cellStyle name="Normal 25 3 2 3 3 2 2" xfId="10032"/>
    <cellStyle name="Normal 25 3 2 3 3 3" xfId="10033"/>
    <cellStyle name="Normal 25 3 2 3 4" xfId="10034"/>
    <cellStyle name="Normal 25 3 2 3 4 2" xfId="10035"/>
    <cellStyle name="Normal 25 3 2 3 5" xfId="10036"/>
    <cellStyle name="Normal 25 3 2 4" xfId="10037"/>
    <cellStyle name="Normal 25 3 2 4 2" xfId="10038"/>
    <cellStyle name="Normal 25 3 2 4 2 2" xfId="10039"/>
    <cellStyle name="Normal 25 3 2 4 2 2 2" xfId="10040"/>
    <cellStyle name="Normal 25 3 2 4 2 3" xfId="10041"/>
    <cellStyle name="Normal 25 3 2 4 3" xfId="10042"/>
    <cellStyle name="Normal 25 3 2 4 3 2" xfId="10043"/>
    <cellStyle name="Normal 25 3 2 4 3 2 2" xfId="10044"/>
    <cellStyle name="Normal 25 3 2 4 3 3" xfId="10045"/>
    <cellStyle name="Normal 25 3 2 4 4" xfId="10046"/>
    <cellStyle name="Normal 25 3 2 4 4 2" xfId="10047"/>
    <cellStyle name="Normal 25 3 2 4 5" xfId="10048"/>
    <cellStyle name="Normal 25 3 2 5" xfId="10049"/>
    <cellStyle name="Normal 25 3 2 5 2" xfId="10050"/>
    <cellStyle name="Normal 25 3 2 5 2 2" xfId="10051"/>
    <cellStyle name="Normal 25 3 2 5 3" xfId="10052"/>
    <cellStyle name="Normal 25 3 2 6" xfId="10053"/>
    <cellStyle name="Normal 25 3 2 6 2" xfId="10054"/>
    <cellStyle name="Normal 25 3 2 6 2 2" xfId="10055"/>
    <cellStyle name="Normal 25 3 2 6 3" xfId="10056"/>
    <cellStyle name="Normal 25 3 2 7" xfId="10057"/>
    <cellStyle name="Normal 25 3 2 7 2" xfId="10058"/>
    <cellStyle name="Normal 25 3 2 8" xfId="10059"/>
    <cellStyle name="Normal 25 3 3" xfId="10060"/>
    <cellStyle name="Normal 25 3 3 2" xfId="10061"/>
    <cellStyle name="Normal 25 3 3 3" xfId="10062"/>
    <cellStyle name="Normal 25 3 3 3 2" xfId="10063"/>
    <cellStyle name="Normal 25 3 3 3 2 2" xfId="10064"/>
    <cellStyle name="Normal 25 3 3 3 3" xfId="10065"/>
    <cellStyle name="Normal 25 3 3 4" xfId="10066"/>
    <cellStyle name="Normal 25 3 3 4 2" xfId="10067"/>
    <cellStyle name="Normal 25 3 3 4 2 2" xfId="10068"/>
    <cellStyle name="Normal 25 3 3 4 3" xfId="10069"/>
    <cellStyle name="Normal 25 3 3 5" xfId="10070"/>
    <cellStyle name="Normal 25 3 3 5 2" xfId="10071"/>
    <cellStyle name="Normal 25 3 3 6" xfId="10072"/>
    <cellStyle name="Normal 25 3 4" xfId="10073"/>
    <cellStyle name="Normal 25 3 4 2" xfId="10074"/>
    <cellStyle name="Normal 25 3 4 2 2" xfId="10075"/>
    <cellStyle name="Normal 25 3 4 2 2 2" xfId="10076"/>
    <cellStyle name="Normal 25 3 4 2 3" xfId="10077"/>
    <cellStyle name="Normal 25 3 4 3" xfId="10078"/>
    <cellStyle name="Normal 25 3 4 3 2" xfId="10079"/>
    <cellStyle name="Normal 25 3 4 3 2 2" xfId="10080"/>
    <cellStyle name="Normal 25 3 4 3 3" xfId="10081"/>
    <cellStyle name="Normal 25 3 4 4" xfId="10082"/>
    <cellStyle name="Normal 25 3 4 4 2" xfId="10083"/>
    <cellStyle name="Normal 25 3 4 5" xfId="10084"/>
    <cellStyle name="Normal 25 3 5" xfId="10085"/>
    <cellStyle name="Normal 25 3 5 2" xfId="10086"/>
    <cellStyle name="Normal 25 3 5 2 2" xfId="10087"/>
    <cellStyle name="Normal 25 3 5 2 2 2" xfId="10088"/>
    <cellStyle name="Normal 25 3 5 2 3" xfId="10089"/>
    <cellStyle name="Normal 25 3 5 3" xfId="10090"/>
    <cellStyle name="Normal 25 3 5 3 2" xfId="10091"/>
    <cellStyle name="Normal 25 3 5 3 2 2" xfId="10092"/>
    <cellStyle name="Normal 25 3 5 3 3" xfId="10093"/>
    <cellStyle name="Normal 25 3 5 4" xfId="10094"/>
    <cellStyle name="Normal 25 3 5 4 2" xfId="10095"/>
    <cellStyle name="Normal 25 3 5 5" xfId="10096"/>
    <cellStyle name="Normal 25 3 6" xfId="10097"/>
    <cellStyle name="Normal 25 3 6 2" xfId="10098"/>
    <cellStyle name="Normal 25 3 6 2 2" xfId="10099"/>
    <cellStyle name="Normal 25 3 6 3" xfId="10100"/>
    <cellStyle name="Normal 25 3 7" xfId="10101"/>
    <cellStyle name="Normal 25 3 7 2" xfId="10102"/>
    <cellStyle name="Normal 25 3 7 2 2" xfId="10103"/>
    <cellStyle name="Normal 25 3 7 3" xfId="10104"/>
    <cellStyle name="Normal 25 3 8" xfId="10105"/>
    <cellStyle name="Normal 25 3 8 2" xfId="10106"/>
    <cellStyle name="Normal 25 3 8 2 2" xfId="10107"/>
    <cellStyle name="Normal 25 3 8 3" xfId="10108"/>
    <cellStyle name="Normal 25 3 9" xfId="10109"/>
    <cellStyle name="Normal 25 3 9 2" xfId="10110"/>
    <cellStyle name="Normal 25 3 9 2 2" xfId="10111"/>
    <cellStyle name="Normal 25 3 9 3" xfId="10112"/>
    <cellStyle name="Normal 25 4" xfId="10113"/>
    <cellStyle name="Normal 25 4 2" xfId="10114"/>
    <cellStyle name="Normal 25 4 2 2" xfId="10115"/>
    <cellStyle name="Normal 25 4 2 3" xfId="10116"/>
    <cellStyle name="Normal 25 4 2 3 2" xfId="10117"/>
    <cellStyle name="Normal 25 4 2 3 2 2" xfId="10118"/>
    <cellStyle name="Normal 25 4 2 3 3" xfId="10119"/>
    <cellStyle name="Normal 25 4 2 4" xfId="10120"/>
    <cellStyle name="Normal 25 4 2 4 2" xfId="10121"/>
    <cellStyle name="Normal 25 4 2 4 2 2" xfId="10122"/>
    <cellStyle name="Normal 25 4 2 4 3" xfId="10123"/>
    <cellStyle name="Normal 25 4 2 5" xfId="10124"/>
    <cellStyle name="Normal 25 4 2 5 2" xfId="10125"/>
    <cellStyle name="Normal 25 4 2 6" xfId="10126"/>
    <cellStyle name="Normal 25 4 3" xfId="10127"/>
    <cellStyle name="Normal 25 4 3 2" xfId="10128"/>
    <cellStyle name="Normal 25 4 3 2 2" xfId="10129"/>
    <cellStyle name="Normal 25 4 3 2 2 2" xfId="10130"/>
    <cellStyle name="Normal 25 4 3 2 3" xfId="10131"/>
    <cellStyle name="Normal 25 4 3 3" xfId="10132"/>
    <cellStyle name="Normal 25 4 3 3 2" xfId="10133"/>
    <cellStyle name="Normal 25 4 3 3 2 2" xfId="10134"/>
    <cellStyle name="Normal 25 4 3 3 3" xfId="10135"/>
    <cellStyle name="Normal 25 4 3 4" xfId="10136"/>
    <cellStyle name="Normal 25 4 3 4 2" xfId="10137"/>
    <cellStyle name="Normal 25 4 3 5" xfId="10138"/>
    <cellStyle name="Normal 25 4 4" xfId="10139"/>
    <cellStyle name="Normal 25 4 4 2" xfId="10140"/>
    <cellStyle name="Normal 25 4 4 2 2" xfId="10141"/>
    <cellStyle name="Normal 25 4 4 2 2 2" xfId="10142"/>
    <cellStyle name="Normal 25 4 4 2 3" xfId="10143"/>
    <cellStyle name="Normal 25 4 4 3" xfId="10144"/>
    <cellStyle name="Normal 25 4 4 3 2" xfId="10145"/>
    <cellStyle name="Normal 25 4 4 3 2 2" xfId="10146"/>
    <cellStyle name="Normal 25 4 4 3 3" xfId="10147"/>
    <cellStyle name="Normal 25 4 4 4" xfId="10148"/>
    <cellStyle name="Normal 25 4 4 4 2" xfId="10149"/>
    <cellStyle name="Normal 25 4 4 5" xfId="10150"/>
    <cellStyle name="Normal 25 4 5" xfId="10151"/>
    <cellStyle name="Normal 25 4 5 2" xfId="10152"/>
    <cellStyle name="Normal 25 4 5 2 2" xfId="10153"/>
    <cellStyle name="Normal 25 4 5 3" xfId="10154"/>
    <cellStyle name="Normal 25 4 6" xfId="10155"/>
    <cellStyle name="Normal 25 4 6 2" xfId="10156"/>
    <cellStyle name="Normal 25 4 6 2 2" xfId="10157"/>
    <cellStyle name="Normal 25 4 6 3" xfId="10158"/>
    <cellStyle name="Normal 25 4 7" xfId="10159"/>
    <cellStyle name="Normal 25 4 7 2" xfId="10160"/>
    <cellStyle name="Normal 25 4 8" xfId="10161"/>
    <cellStyle name="Normal 25 5" xfId="10162"/>
    <cellStyle name="Normal 25 5 2" xfId="10163"/>
    <cellStyle name="Normal 25 5 3" xfId="10164"/>
    <cellStyle name="Normal 25 5 3 2" xfId="10165"/>
    <cellStyle name="Normal 25 5 3 2 2" xfId="10166"/>
    <cellStyle name="Normal 25 5 3 3" xfId="10167"/>
    <cellStyle name="Normal 25 5 4" xfId="10168"/>
    <cellStyle name="Normal 25 5 4 2" xfId="10169"/>
    <cellStyle name="Normal 25 5 4 2 2" xfId="10170"/>
    <cellStyle name="Normal 25 5 4 3" xfId="10171"/>
    <cellStyle name="Normal 25 5 5" xfId="10172"/>
    <cellStyle name="Normal 25 5 5 2" xfId="10173"/>
    <cellStyle name="Normal 25 5 6" xfId="10174"/>
    <cellStyle name="Normal 25 6" xfId="10175"/>
    <cellStyle name="Normal 25 6 2" xfId="10176"/>
    <cellStyle name="Normal 25 6 3" xfId="10177"/>
    <cellStyle name="Normal 25 6 3 2" xfId="10178"/>
    <cellStyle name="Normal 25 6 3 2 2" xfId="10179"/>
    <cellStyle name="Normal 25 6 3 3" xfId="10180"/>
    <cellStyle name="Normal 25 6 4" xfId="10181"/>
    <cellStyle name="Normal 25 6 4 2" xfId="10182"/>
    <cellStyle name="Normal 25 6 4 2 2" xfId="10183"/>
    <cellStyle name="Normal 25 6 4 3" xfId="10184"/>
    <cellStyle name="Normal 25 6 5" xfId="10185"/>
    <cellStyle name="Normal 25 6 5 2" xfId="10186"/>
    <cellStyle name="Normal 25 6 6" xfId="10187"/>
    <cellStyle name="Normal 25 7" xfId="10188"/>
    <cellStyle name="Normal 25 8" xfId="10189"/>
    <cellStyle name="Normal 25 9" xfId="10190"/>
    <cellStyle name="Normal 250" xfId="18461"/>
    <cellStyle name="Normal 251" xfId="18462"/>
    <cellStyle name="Normal 252" xfId="18463"/>
    <cellStyle name="Normal 253" xfId="18464"/>
    <cellStyle name="Normal 254" xfId="18465"/>
    <cellStyle name="Normal 255" xfId="18466"/>
    <cellStyle name="Normal 256" xfId="10191"/>
    <cellStyle name="Normal 257" xfId="18467"/>
    <cellStyle name="Normal 258" xfId="18468"/>
    <cellStyle name="Normal 259" xfId="18469"/>
    <cellStyle name="Normal 26" xfId="10192"/>
    <cellStyle name="Normal 26 10" xfId="10193"/>
    <cellStyle name="Normal 26 11" xfId="10194"/>
    <cellStyle name="Normal 26 11 2" xfId="10195"/>
    <cellStyle name="Normal 26 11 2 2" xfId="10196"/>
    <cellStyle name="Normal 26 11 2 2 2" xfId="10197"/>
    <cellStyle name="Normal 26 11 2 3" xfId="10198"/>
    <cellStyle name="Normal 26 11 3" xfId="10199"/>
    <cellStyle name="Normal 26 11 3 2" xfId="10200"/>
    <cellStyle name="Normal 26 11 3 2 2" xfId="10201"/>
    <cellStyle name="Normal 26 11 3 3" xfId="10202"/>
    <cellStyle name="Normal 26 11 4" xfId="10203"/>
    <cellStyle name="Normal 26 11 4 2" xfId="10204"/>
    <cellStyle name="Normal 26 11 5" xfId="10205"/>
    <cellStyle name="Normal 26 12" xfId="10206"/>
    <cellStyle name="Normal 26 13" xfId="10207"/>
    <cellStyle name="Normal 26 13 2" xfId="10208"/>
    <cellStyle name="Normal 26 13 2 2" xfId="10209"/>
    <cellStyle name="Normal 26 13 3" xfId="10210"/>
    <cellStyle name="Normal 26 14" xfId="10211"/>
    <cellStyle name="Normal 26 14 2" xfId="10212"/>
    <cellStyle name="Normal 26 14 2 2" xfId="10213"/>
    <cellStyle name="Normal 26 14 3" xfId="10214"/>
    <cellStyle name="Normal 26 15" xfId="10215"/>
    <cellStyle name="Normal 26 15 2" xfId="10216"/>
    <cellStyle name="Normal 26 16" xfId="10217"/>
    <cellStyle name="Normal 26 2" xfId="10218"/>
    <cellStyle name="Normal 26 2 10" xfId="10219"/>
    <cellStyle name="Normal 26 2 10 2" xfId="10220"/>
    <cellStyle name="Normal 26 2 11" xfId="10221"/>
    <cellStyle name="Normal 26 2 2" xfId="10222"/>
    <cellStyle name="Normal 26 2 2 2" xfId="10223"/>
    <cellStyle name="Normal 26 2 2 2 2" xfId="10224"/>
    <cellStyle name="Normal 26 2 2 2 2 2" xfId="10225"/>
    <cellStyle name="Normal 26 2 2 2 2 2 2" xfId="10226"/>
    <cellStyle name="Normal 26 2 2 2 2 3" xfId="10227"/>
    <cellStyle name="Normal 26 2 2 2 3" xfId="10228"/>
    <cellStyle name="Normal 26 2 2 2 3 2" xfId="10229"/>
    <cellStyle name="Normal 26 2 2 2 3 2 2" xfId="10230"/>
    <cellStyle name="Normal 26 2 2 2 3 3" xfId="10231"/>
    <cellStyle name="Normal 26 2 2 2 4" xfId="10232"/>
    <cellStyle name="Normal 26 2 2 2 4 2" xfId="10233"/>
    <cellStyle name="Normal 26 2 2 2 5" xfId="10234"/>
    <cellStyle name="Normal 26 2 2 3" xfId="10235"/>
    <cellStyle name="Normal 26 2 2 3 2" xfId="10236"/>
    <cellStyle name="Normal 26 2 2 3 2 2" xfId="10237"/>
    <cellStyle name="Normal 26 2 2 3 2 2 2" xfId="10238"/>
    <cellStyle name="Normal 26 2 2 3 2 3" xfId="10239"/>
    <cellStyle name="Normal 26 2 2 3 3" xfId="10240"/>
    <cellStyle name="Normal 26 2 2 3 3 2" xfId="10241"/>
    <cellStyle name="Normal 26 2 2 3 3 2 2" xfId="10242"/>
    <cellStyle name="Normal 26 2 2 3 3 3" xfId="10243"/>
    <cellStyle name="Normal 26 2 2 3 4" xfId="10244"/>
    <cellStyle name="Normal 26 2 2 3 4 2" xfId="10245"/>
    <cellStyle name="Normal 26 2 2 3 5" xfId="10246"/>
    <cellStyle name="Normal 26 2 2 4" xfId="10247"/>
    <cellStyle name="Normal 26 2 2 4 2" xfId="10248"/>
    <cellStyle name="Normal 26 2 2 4 2 2" xfId="10249"/>
    <cellStyle name="Normal 26 2 2 4 2 2 2" xfId="10250"/>
    <cellStyle name="Normal 26 2 2 4 2 3" xfId="10251"/>
    <cellStyle name="Normal 26 2 2 4 3" xfId="10252"/>
    <cellStyle name="Normal 26 2 2 4 3 2" xfId="10253"/>
    <cellStyle name="Normal 26 2 2 4 3 2 2" xfId="10254"/>
    <cellStyle name="Normal 26 2 2 4 3 3" xfId="10255"/>
    <cellStyle name="Normal 26 2 2 4 4" xfId="10256"/>
    <cellStyle name="Normal 26 2 2 4 4 2" xfId="10257"/>
    <cellStyle name="Normal 26 2 2 4 5" xfId="10258"/>
    <cellStyle name="Normal 26 2 2 5" xfId="10259"/>
    <cellStyle name="Normal 26 2 2 5 2" xfId="10260"/>
    <cellStyle name="Normal 26 2 2 5 2 2" xfId="10261"/>
    <cellStyle name="Normal 26 2 2 5 3" xfId="10262"/>
    <cellStyle name="Normal 26 2 2 6" xfId="10263"/>
    <cellStyle name="Normal 26 2 2 6 2" xfId="10264"/>
    <cellStyle name="Normal 26 2 2 6 2 2" xfId="10265"/>
    <cellStyle name="Normal 26 2 2 6 3" xfId="10266"/>
    <cellStyle name="Normal 26 2 2 7" xfId="10267"/>
    <cellStyle name="Normal 26 2 2 7 2" xfId="10268"/>
    <cellStyle name="Normal 26 2 2 8" xfId="10269"/>
    <cellStyle name="Normal 26 2 3" xfId="10270"/>
    <cellStyle name="Normal 26 2 3 2" xfId="10271"/>
    <cellStyle name="Normal 26 2 3 3" xfId="10272"/>
    <cellStyle name="Normal 26 2 3 3 2" xfId="10273"/>
    <cellStyle name="Normal 26 2 3 3 2 2" xfId="10274"/>
    <cellStyle name="Normal 26 2 3 3 3" xfId="10275"/>
    <cellStyle name="Normal 26 2 3 4" xfId="10276"/>
    <cellStyle name="Normal 26 2 3 4 2" xfId="10277"/>
    <cellStyle name="Normal 26 2 3 4 2 2" xfId="10278"/>
    <cellStyle name="Normal 26 2 3 4 3" xfId="10279"/>
    <cellStyle name="Normal 26 2 3 5" xfId="10280"/>
    <cellStyle name="Normal 26 2 3 5 2" xfId="10281"/>
    <cellStyle name="Normal 26 2 3 6" xfId="10282"/>
    <cellStyle name="Normal 26 2 4" xfId="10283"/>
    <cellStyle name="Normal 26 2 4 2" xfId="10284"/>
    <cellStyle name="Normal 26 2 4 2 2" xfId="10285"/>
    <cellStyle name="Normal 26 2 4 2 2 2" xfId="10286"/>
    <cellStyle name="Normal 26 2 4 2 3" xfId="10287"/>
    <cellStyle name="Normal 26 2 4 3" xfId="10288"/>
    <cellStyle name="Normal 26 2 4 3 2" xfId="10289"/>
    <cellStyle name="Normal 26 2 4 3 2 2" xfId="10290"/>
    <cellStyle name="Normal 26 2 4 3 3" xfId="10291"/>
    <cellStyle name="Normal 26 2 4 4" xfId="10292"/>
    <cellStyle name="Normal 26 2 4 4 2" xfId="10293"/>
    <cellStyle name="Normal 26 2 4 5" xfId="10294"/>
    <cellStyle name="Normal 26 2 5" xfId="10295"/>
    <cellStyle name="Normal 26 2 5 2" xfId="10296"/>
    <cellStyle name="Normal 26 2 5 2 2" xfId="10297"/>
    <cellStyle name="Normal 26 2 5 2 2 2" xfId="10298"/>
    <cellStyle name="Normal 26 2 5 2 3" xfId="10299"/>
    <cellStyle name="Normal 26 2 5 3" xfId="10300"/>
    <cellStyle name="Normal 26 2 5 3 2" xfId="10301"/>
    <cellStyle name="Normal 26 2 5 3 2 2" xfId="10302"/>
    <cellStyle name="Normal 26 2 5 3 3" xfId="10303"/>
    <cellStyle name="Normal 26 2 5 4" xfId="10304"/>
    <cellStyle name="Normal 26 2 5 4 2" xfId="10305"/>
    <cellStyle name="Normal 26 2 5 5" xfId="10306"/>
    <cellStyle name="Normal 26 2 6" xfId="10307"/>
    <cellStyle name="Normal 26 2 6 2" xfId="10308"/>
    <cellStyle name="Normal 26 2 6 2 2" xfId="10309"/>
    <cellStyle name="Normal 26 2 6 3" xfId="10310"/>
    <cellStyle name="Normal 26 2 7" xfId="10311"/>
    <cellStyle name="Normal 26 2 7 2" xfId="10312"/>
    <cellStyle name="Normal 26 2 7 2 2" xfId="10313"/>
    <cellStyle name="Normal 26 2 7 3" xfId="10314"/>
    <cellStyle name="Normal 26 2 8" xfId="10315"/>
    <cellStyle name="Normal 26 2 8 2" xfId="10316"/>
    <cellStyle name="Normal 26 2 8 2 2" xfId="10317"/>
    <cellStyle name="Normal 26 2 8 3" xfId="10318"/>
    <cellStyle name="Normal 26 2 9" xfId="10319"/>
    <cellStyle name="Normal 26 2 9 2" xfId="10320"/>
    <cellStyle name="Normal 26 2 9 2 2" xfId="10321"/>
    <cellStyle name="Normal 26 2 9 3" xfId="10322"/>
    <cellStyle name="Normal 26 3" xfId="10323"/>
    <cellStyle name="Normal 26 3 10" xfId="10324"/>
    <cellStyle name="Normal 26 3 10 2" xfId="10325"/>
    <cellStyle name="Normal 26 3 11" xfId="10326"/>
    <cellStyle name="Normal 26 3 2" xfId="10327"/>
    <cellStyle name="Normal 26 3 2 2" xfId="10328"/>
    <cellStyle name="Normal 26 3 2 2 2" xfId="10329"/>
    <cellStyle name="Normal 26 3 2 2 2 2" xfId="10330"/>
    <cellStyle name="Normal 26 3 2 2 2 2 2" xfId="10331"/>
    <cellStyle name="Normal 26 3 2 2 2 3" xfId="10332"/>
    <cellStyle name="Normal 26 3 2 2 3" xfId="10333"/>
    <cellStyle name="Normal 26 3 2 2 3 2" xfId="10334"/>
    <cellStyle name="Normal 26 3 2 2 3 2 2" xfId="10335"/>
    <cellStyle name="Normal 26 3 2 2 3 3" xfId="10336"/>
    <cellStyle name="Normal 26 3 2 2 4" xfId="10337"/>
    <cellStyle name="Normal 26 3 2 2 4 2" xfId="10338"/>
    <cellStyle name="Normal 26 3 2 2 5" xfId="10339"/>
    <cellStyle name="Normal 26 3 2 3" xfId="10340"/>
    <cellStyle name="Normal 26 3 2 3 2" xfId="10341"/>
    <cellStyle name="Normal 26 3 2 3 2 2" xfId="10342"/>
    <cellStyle name="Normal 26 3 2 3 2 2 2" xfId="10343"/>
    <cellStyle name="Normal 26 3 2 3 2 3" xfId="10344"/>
    <cellStyle name="Normal 26 3 2 3 3" xfId="10345"/>
    <cellStyle name="Normal 26 3 2 3 3 2" xfId="10346"/>
    <cellStyle name="Normal 26 3 2 3 3 2 2" xfId="10347"/>
    <cellStyle name="Normal 26 3 2 3 3 3" xfId="10348"/>
    <cellStyle name="Normal 26 3 2 3 4" xfId="10349"/>
    <cellStyle name="Normal 26 3 2 3 4 2" xfId="10350"/>
    <cellStyle name="Normal 26 3 2 3 5" xfId="10351"/>
    <cellStyle name="Normal 26 3 2 4" xfId="10352"/>
    <cellStyle name="Normal 26 3 2 4 2" xfId="10353"/>
    <cellStyle name="Normal 26 3 2 4 2 2" xfId="10354"/>
    <cellStyle name="Normal 26 3 2 4 2 2 2" xfId="10355"/>
    <cellStyle name="Normal 26 3 2 4 2 3" xfId="10356"/>
    <cellStyle name="Normal 26 3 2 4 3" xfId="10357"/>
    <cellStyle name="Normal 26 3 2 4 3 2" xfId="10358"/>
    <cellStyle name="Normal 26 3 2 4 3 2 2" xfId="10359"/>
    <cellStyle name="Normal 26 3 2 4 3 3" xfId="10360"/>
    <cellStyle name="Normal 26 3 2 4 4" xfId="10361"/>
    <cellStyle name="Normal 26 3 2 4 4 2" xfId="10362"/>
    <cellStyle name="Normal 26 3 2 4 5" xfId="10363"/>
    <cellStyle name="Normal 26 3 2 5" xfId="10364"/>
    <cellStyle name="Normal 26 3 2 5 2" xfId="10365"/>
    <cellStyle name="Normal 26 3 2 5 2 2" xfId="10366"/>
    <cellStyle name="Normal 26 3 2 5 3" xfId="10367"/>
    <cellStyle name="Normal 26 3 2 6" xfId="10368"/>
    <cellStyle name="Normal 26 3 2 6 2" xfId="10369"/>
    <cellStyle name="Normal 26 3 2 6 2 2" xfId="10370"/>
    <cellStyle name="Normal 26 3 2 6 3" xfId="10371"/>
    <cellStyle name="Normal 26 3 2 7" xfId="10372"/>
    <cellStyle name="Normal 26 3 2 7 2" xfId="10373"/>
    <cellStyle name="Normal 26 3 2 8" xfId="10374"/>
    <cellStyle name="Normal 26 3 3" xfId="10375"/>
    <cellStyle name="Normal 26 3 3 2" xfId="10376"/>
    <cellStyle name="Normal 26 3 3 3" xfId="10377"/>
    <cellStyle name="Normal 26 3 3 3 2" xfId="10378"/>
    <cellStyle name="Normal 26 3 3 3 2 2" xfId="10379"/>
    <cellStyle name="Normal 26 3 3 3 3" xfId="10380"/>
    <cellStyle name="Normal 26 3 3 4" xfId="10381"/>
    <cellStyle name="Normal 26 3 3 4 2" xfId="10382"/>
    <cellStyle name="Normal 26 3 3 4 2 2" xfId="10383"/>
    <cellStyle name="Normal 26 3 3 4 3" xfId="10384"/>
    <cellStyle name="Normal 26 3 3 5" xfId="10385"/>
    <cellStyle name="Normal 26 3 3 5 2" xfId="10386"/>
    <cellStyle name="Normal 26 3 3 6" xfId="10387"/>
    <cellStyle name="Normal 26 3 4" xfId="10388"/>
    <cellStyle name="Normal 26 3 4 2" xfId="10389"/>
    <cellStyle name="Normal 26 3 4 2 2" xfId="10390"/>
    <cellStyle name="Normal 26 3 4 2 2 2" xfId="10391"/>
    <cellStyle name="Normal 26 3 4 2 3" xfId="10392"/>
    <cellStyle name="Normal 26 3 4 3" xfId="10393"/>
    <cellStyle name="Normal 26 3 4 3 2" xfId="10394"/>
    <cellStyle name="Normal 26 3 4 3 2 2" xfId="10395"/>
    <cellStyle name="Normal 26 3 4 3 3" xfId="10396"/>
    <cellStyle name="Normal 26 3 4 4" xfId="10397"/>
    <cellStyle name="Normal 26 3 4 4 2" xfId="10398"/>
    <cellStyle name="Normal 26 3 4 5" xfId="10399"/>
    <cellStyle name="Normal 26 3 5" xfId="10400"/>
    <cellStyle name="Normal 26 3 5 2" xfId="10401"/>
    <cellStyle name="Normal 26 3 5 2 2" xfId="10402"/>
    <cellStyle name="Normal 26 3 5 2 2 2" xfId="10403"/>
    <cellStyle name="Normal 26 3 5 2 3" xfId="10404"/>
    <cellStyle name="Normal 26 3 5 3" xfId="10405"/>
    <cellStyle name="Normal 26 3 5 3 2" xfId="10406"/>
    <cellStyle name="Normal 26 3 5 3 2 2" xfId="10407"/>
    <cellStyle name="Normal 26 3 5 3 3" xfId="10408"/>
    <cellStyle name="Normal 26 3 5 4" xfId="10409"/>
    <cellStyle name="Normal 26 3 5 4 2" xfId="10410"/>
    <cellStyle name="Normal 26 3 5 5" xfId="10411"/>
    <cellStyle name="Normal 26 3 6" xfId="10412"/>
    <cellStyle name="Normal 26 3 6 2" xfId="10413"/>
    <cellStyle name="Normal 26 3 6 2 2" xfId="10414"/>
    <cellStyle name="Normal 26 3 6 3" xfId="10415"/>
    <cellStyle name="Normal 26 3 7" xfId="10416"/>
    <cellStyle name="Normal 26 3 7 2" xfId="10417"/>
    <cellStyle name="Normal 26 3 7 2 2" xfId="10418"/>
    <cellStyle name="Normal 26 3 7 3" xfId="10419"/>
    <cellStyle name="Normal 26 3 8" xfId="10420"/>
    <cellStyle name="Normal 26 3 8 2" xfId="10421"/>
    <cellStyle name="Normal 26 3 8 2 2" xfId="10422"/>
    <cellStyle name="Normal 26 3 8 3" xfId="10423"/>
    <cellStyle name="Normal 26 3 9" xfId="10424"/>
    <cellStyle name="Normal 26 3 9 2" xfId="10425"/>
    <cellStyle name="Normal 26 3 9 2 2" xfId="10426"/>
    <cellStyle name="Normal 26 3 9 3" xfId="10427"/>
    <cellStyle name="Normal 26 4" xfId="10428"/>
    <cellStyle name="Normal 26 4 2" xfId="10429"/>
    <cellStyle name="Normal 26 4 2 2" xfId="10430"/>
    <cellStyle name="Normal 26 4 2 3" xfId="10431"/>
    <cellStyle name="Normal 26 4 2 3 2" xfId="10432"/>
    <cellStyle name="Normal 26 4 2 3 2 2" xfId="10433"/>
    <cellStyle name="Normal 26 4 2 3 3" xfId="10434"/>
    <cellStyle name="Normal 26 4 2 4" xfId="10435"/>
    <cellStyle name="Normal 26 4 2 4 2" xfId="10436"/>
    <cellStyle name="Normal 26 4 2 4 2 2" xfId="10437"/>
    <cellStyle name="Normal 26 4 2 4 3" xfId="10438"/>
    <cellStyle name="Normal 26 4 2 5" xfId="10439"/>
    <cellStyle name="Normal 26 4 2 5 2" xfId="10440"/>
    <cellStyle name="Normal 26 4 2 6" xfId="10441"/>
    <cellStyle name="Normal 26 4 3" xfId="10442"/>
    <cellStyle name="Normal 26 4 3 2" xfId="10443"/>
    <cellStyle name="Normal 26 4 3 2 2" xfId="10444"/>
    <cellStyle name="Normal 26 4 3 2 2 2" xfId="10445"/>
    <cellStyle name="Normal 26 4 3 2 3" xfId="10446"/>
    <cellStyle name="Normal 26 4 3 3" xfId="10447"/>
    <cellStyle name="Normal 26 4 3 3 2" xfId="10448"/>
    <cellStyle name="Normal 26 4 3 3 2 2" xfId="10449"/>
    <cellStyle name="Normal 26 4 3 3 3" xfId="10450"/>
    <cellStyle name="Normal 26 4 3 4" xfId="10451"/>
    <cellStyle name="Normal 26 4 3 4 2" xfId="10452"/>
    <cellStyle name="Normal 26 4 3 5" xfId="10453"/>
    <cellStyle name="Normal 26 4 4" xfId="10454"/>
    <cellStyle name="Normal 26 4 4 2" xfId="10455"/>
    <cellStyle name="Normal 26 4 4 2 2" xfId="10456"/>
    <cellStyle name="Normal 26 4 4 2 2 2" xfId="10457"/>
    <cellStyle name="Normal 26 4 4 2 3" xfId="10458"/>
    <cellStyle name="Normal 26 4 4 3" xfId="10459"/>
    <cellStyle name="Normal 26 4 4 3 2" xfId="10460"/>
    <cellStyle name="Normal 26 4 4 3 2 2" xfId="10461"/>
    <cellStyle name="Normal 26 4 4 3 3" xfId="10462"/>
    <cellStyle name="Normal 26 4 4 4" xfId="10463"/>
    <cellStyle name="Normal 26 4 4 4 2" xfId="10464"/>
    <cellStyle name="Normal 26 4 4 5" xfId="10465"/>
    <cellStyle name="Normal 26 4 5" xfId="10466"/>
    <cellStyle name="Normal 26 4 5 2" xfId="10467"/>
    <cellStyle name="Normal 26 4 5 2 2" xfId="10468"/>
    <cellStyle name="Normal 26 4 5 3" xfId="10469"/>
    <cellStyle name="Normal 26 4 6" xfId="10470"/>
    <cellStyle name="Normal 26 4 6 2" xfId="10471"/>
    <cellStyle name="Normal 26 4 6 2 2" xfId="10472"/>
    <cellStyle name="Normal 26 4 6 3" xfId="10473"/>
    <cellStyle name="Normal 26 4 7" xfId="10474"/>
    <cellStyle name="Normal 26 4 7 2" xfId="10475"/>
    <cellStyle name="Normal 26 4 8" xfId="10476"/>
    <cellStyle name="Normal 26 5" xfId="10477"/>
    <cellStyle name="Normal 26 5 2" xfId="10478"/>
    <cellStyle name="Normal 26 5 3" xfId="10479"/>
    <cellStyle name="Normal 26 5 3 2" xfId="10480"/>
    <cellStyle name="Normal 26 5 3 2 2" xfId="10481"/>
    <cellStyle name="Normal 26 5 3 3" xfId="10482"/>
    <cellStyle name="Normal 26 5 4" xfId="10483"/>
    <cellStyle name="Normal 26 5 4 2" xfId="10484"/>
    <cellStyle name="Normal 26 5 4 2 2" xfId="10485"/>
    <cellStyle name="Normal 26 5 4 3" xfId="10486"/>
    <cellStyle name="Normal 26 5 5" xfId="10487"/>
    <cellStyle name="Normal 26 5 5 2" xfId="10488"/>
    <cellStyle name="Normal 26 5 6" xfId="10489"/>
    <cellStyle name="Normal 26 6" xfId="10490"/>
    <cellStyle name="Normal 26 6 2" xfId="10491"/>
    <cellStyle name="Normal 26 6 3" xfId="10492"/>
    <cellStyle name="Normal 26 6 3 2" xfId="10493"/>
    <cellStyle name="Normal 26 6 3 2 2" xfId="10494"/>
    <cellStyle name="Normal 26 6 3 3" xfId="10495"/>
    <cellStyle name="Normal 26 6 4" xfId="10496"/>
    <cellStyle name="Normal 26 6 4 2" xfId="10497"/>
    <cellStyle name="Normal 26 6 4 2 2" xfId="10498"/>
    <cellStyle name="Normal 26 6 4 3" xfId="10499"/>
    <cellStyle name="Normal 26 6 5" xfId="10500"/>
    <cellStyle name="Normal 26 6 5 2" xfId="10501"/>
    <cellStyle name="Normal 26 6 6" xfId="10502"/>
    <cellStyle name="Normal 26 7" xfId="10503"/>
    <cellStyle name="Normal 26 8" xfId="10504"/>
    <cellStyle name="Normal 26 9" xfId="10505"/>
    <cellStyle name="Normal 260" xfId="18470"/>
    <cellStyle name="Normal 261" xfId="18471"/>
    <cellStyle name="Normal 262" xfId="18472"/>
    <cellStyle name="Normal 263" xfId="18473"/>
    <cellStyle name="Normal 264" xfId="18474"/>
    <cellStyle name="Normal 265" xfId="18475"/>
    <cellStyle name="Normal 266" xfId="18476"/>
    <cellStyle name="Normal 267" xfId="18477"/>
    <cellStyle name="Normal 268" xfId="18478"/>
    <cellStyle name="Normal 269" xfId="18479"/>
    <cellStyle name="Normal 27" xfId="10506"/>
    <cellStyle name="Normal 27 10" xfId="10507"/>
    <cellStyle name="Normal 27 11" xfId="10508"/>
    <cellStyle name="Normal 27 11 2" xfId="10509"/>
    <cellStyle name="Normal 27 11 2 2" xfId="10510"/>
    <cellStyle name="Normal 27 11 2 2 2" xfId="10511"/>
    <cellStyle name="Normal 27 11 2 3" xfId="10512"/>
    <cellStyle name="Normal 27 11 3" xfId="10513"/>
    <cellStyle name="Normal 27 11 3 2" xfId="10514"/>
    <cellStyle name="Normal 27 11 3 2 2" xfId="10515"/>
    <cellStyle name="Normal 27 11 3 3" xfId="10516"/>
    <cellStyle name="Normal 27 11 4" xfId="10517"/>
    <cellStyle name="Normal 27 11 4 2" xfId="10518"/>
    <cellStyle name="Normal 27 11 5" xfId="10519"/>
    <cellStyle name="Normal 27 12" xfId="10520"/>
    <cellStyle name="Normal 27 13" xfId="10521"/>
    <cellStyle name="Normal 27 13 2" xfId="10522"/>
    <cellStyle name="Normal 27 13 2 2" xfId="10523"/>
    <cellStyle name="Normal 27 13 3" xfId="10524"/>
    <cellStyle name="Normal 27 14" xfId="10525"/>
    <cellStyle name="Normal 27 14 2" xfId="10526"/>
    <cellStyle name="Normal 27 14 2 2" xfId="10527"/>
    <cellStyle name="Normal 27 14 3" xfId="10528"/>
    <cellStyle name="Normal 27 15" xfId="10529"/>
    <cellStyle name="Normal 27 15 2" xfId="10530"/>
    <cellStyle name="Normal 27 16" xfId="10531"/>
    <cellStyle name="Normal 27 2" xfId="10532"/>
    <cellStyle name="Normal 27 2 10" xfId="10533"/>
    <cellStyle name="Normal 27 2 10 2" xfId="10534"/>
    <cellStyle name="Normal 27 2 11" xfId="10535"/>
    <cellStyle name="Normal 27 2 2" xfId="10536"/>
    <cellStyle name="Normal 27 2 2 2" xfId="10537"/>
    <cellStyle name="Normal 27 2 2 2 2" xfId="10538"/>
    <cellStyle name="Normal 27 2 2 2 2 2" xfId="10539"/>
    <cellStyle name="Normal 27 2 2 2 2 2 2" xfId="10540"/>
    <cellStyle name="Normal 27 2 2 2 2 3" xfId="10541"/>
    <cellStyle name="Normal 27 2 2 2 3" xfId="10542"/>
    <cellStyle name="Normal 27 2 2 2 3 2" xfId="10543"/>
    <cellStyle name="Normal 27 2 2 2 3 2 2" xfId="10544"/>
    <cellStyle name="Normal 27 2 2 2 3 3" xfId="10545"/>
    <cellStyle name="Normal 27 2 2 2 4" xfId="10546"/>
    <cellStyle name="Normal 27 2 2 2 4 2" xfId="10547"/>
    <cellStyle name="Normal 27 2 2 2 5" xfId="10548"/>
    <cellStyle name="Normal 27 2 2 3" xfId="10549"/>
    <cellStyle name="Normal 27 2 2 3 2" xfId="10550"/>
    <cellStyle name="Normal 27 2 2 3 2 2" xfId="10551"/>
    <cellStyle name="Normal 27 2 2 3 2 2 2" xfId="10552"/>
    <cellStyle name="Normal 27 2 2 3 2 3" xfId="10553"/>
    <cellStyle name="Normal 27 2 2 3 3" xfId="10554"/>
    <cellStyle name="Normal 27 2 2 3 3 2" xfId="10555"/>
    <cellStyle name="Normal 27 2 2 3 3 2 2" xfId="10556"/>
    <cellStyle name="Normal 27 2 2 3 3 3" xfId="10557"/>
    <cellStyle name="Normal 27 2 2 3 4" xfId="10558"/>
    <cellStyle name="Normal 27 2 2 3 4 2" xfId="10559"/>
    <cellStyle name="Normal 27 2 2 3 5" xfId="10560"/>
    <cellStyle name="Normal 27 2 2 4" xfId="10561"/>
    <cellStyle name="Normal 27 2 2 4 2" xfId="10562"/>
    <cellStyle name="Normal 27 2 2 4 2 2" xfId="10563"/>
    <cellStyle name="Normal 27 2 2 4 2 2 2" xfId="10564"/>
    <cellStyle name="Normal 27 2 2 4 2 3" xfId="10565"/>
    <cellStyle name="Normal 27 2 2 4 3" xfId="10566"/>
    <cellStyle name="Normal 27 2 2 4 3 2" xfId="10567"/>
    <cellStyle name="Normal 27 2 2 4 3 2 2" xfId="10568"/>
    <cellStyle name="Normal 27 2 2 4 3 3" xfId="10569"/>
    <cellStyle name="Normal 27 2 2 4 4" xfId="10570"/>
    <cellStyle name="Normal 27 2 2 4 4 2" xfId="10571"/>
    <cellStyle name="Normal 27 2 2 4 5" xfId="10572"/>
    <cellStyle name="Normal 27 2 2 5" xfId="10573"/>
    <cellStyle name="Normal 27 2 2 5 2" xfId="10574"/>
    <cellStyle name="Normal 27 2 2 5 2 2" xfId="10575"/>
    <cellStyle name="Normal 27 2 2 5 3" xfId="10576"/>
    <cellStyle name="Normal 27 2 2 6" xfId="10577"/>
    <cellStyle name="Normal 27 2 2 6 2" xfId="10578"/>
    <cellStyle name="Normal 27 2 2 6 2 2" xfId="10579"/>
    <cellStyle name="Normal 27 2 2 6 3" xfId="10580"/>
    <cellStyle name="Normal 27 2 2 7" xfId="10581"/>
    <cellStyle name="Normal 27 2 2 7 2" xfId="10582"/>
    <cellStyle name="Normal 27 2 2 8" xfId="10583"/>
    <cellStyle name="Normal 27 2 3" xfId="10584"/>
    <cellStyle name="Normal 27 2 3 2" xfId="10585"/>
    <cellStyle name="Normal 27 2 3 3" xfId="10586"/>
    <cellStyle name="Normal 27 2 3 3 2" xfId="10587"/>
    <cellStyle name="Normal 27 2 3 3 2 2" xfId="10588"/>
    <cellStyle name="Normal 27 2 3 3 3" xfId="10589"/>
    <cellStyle name="Normal 27 2 3 4" xfId="10590"/>
    <cellStyle name="Normal 27 2 3 4 2" xfId="10591"/>
    <cellStyle name="Normal 27 2 3 4 2 2" xfId="10592"/>
    <cellStyle name="Normal 27 2 3 4 3" xfId="10593"/>
    <cellStyle name="Normal 27 2 3 5" xfId="10594"/>
    <cellStyle name="Normal 27 2 3 5 2" xfId="10595"/>
    <cellStyle name="Normal 27 2 3 6" xfId="10596"/>
    <cellStyle name="Normal 27 2 4" xfId="10597"/>
    <cellStyle name="Normal 27 2 4 2" xfId="10598"/>
    <cellStyle name="Normal 27 2 4 2 2" xfId="10599"/>
    <cellStyle name="Normal 27 2 4 2 2 2" xfId="10600"/>
    <cellStyle name="Normal 27 2 4 2 3" xfId="10601"/>
    <cellStyle name="Normal 27 2 4 3" xfId="10602"/>
    <cellStyle name="Normal 27 2 4 3 2" xfId="10603"/>
    <cellStyle name="Normal 27 2 4 3 2 2" xfId="10604"/>
    <cellStyle name="Normal 27 2 4 3 3" xfId="10605"/>
    <cellStyle name="Normal 27 2 4 4" xfId="10606"/>
    <cellStyle name="Normal 27 2 4 4 2" xfId="10607"/>
    <cellStyle name="Normal 27 2 4 5" xfId="10608"/>
    <cellStyle name="Normal 27 2 5" xfId="10609"/>
    <cellStyle name="Normal 27 2 5 2" xfId="10610"/>
    <cellStyle name="Normal 27 2 5 2 2" xfId="10611"/>
    <cellStyle name="Normal 27 2 5 2 2 2" xfId="10612"/>
    <cellStyle name="Normal 27 2 5 2 3" xfId="10613"/>
    <cellStyle name="Normal 27 2 5 3" xfId="10614"/>
    <cellStyle name="Normal 27 2 5 3 2" xfId="10615"/>
    <cellStyle name="Normal 27 2 5 3 2 2" xfId="10616"/>
    <cellStyle name="Normal 27 2 5 3 3" xfId="10617"/>
    <cellStyle name="Normal 27 2 5 4" xfId="10618"/>
    <cellStyle name="Normal 27 2 5 4 2" xfId="10619"/>
    <cellStyle name="Normal 27 2 5 5" xfId="10620"/>
    <cellStyle name="Normal 27 2 6" xfId="10621"/>
    <cellStyle name="Normal 27 2 6 2" xfId="10622"/>
    <cellStyle name="Normal 27 2 6 2 2" xfId="10623"/>
    <cellStyle name="Normal 27 2 6 3" xfId="10624"/>
    <cellStyle name="Normal 27 2 7" xfId="10625"/>
    <cellStyle name="Normal 27 2 7 2" xfId="10626"/>
    <cellStyle name="Normal 27 2 7 2 2" xfId="10627"/>
    <cellStyle name="Normal 27 2 7 3" xfId="10628"/>
    <cellStyle name="Normal 27 2 8" xfId="10629"/>
    <cellStyle name="Normal 27 2 8 2" xfId="10630"/>
    <cellStyle name="Normal 27 2 8 2 2" xfId="10631"/>
    <cellStyle name="Normal 27 2 8 3" xfId="10632"/>
    <cellStyle name="Normal 27 2 9" xfId="10633"/>
    <cellStyle name="Normal 27 2 9 2" xfId="10634"/>
    <cellStyle name="Normal 27 2 9 2 2" xfId="10635"/>
    <cellStyle name="Normal 27 2 9 3" xfId="10636"/>
    <cellStyle name="Normal 27 3" xfId="10637"/>
    <cellStyle name="Normal 27 3 10" xfId="10638"/>
    <cellStyle name="Normal 27 3 10 2" xfId="10639"/>
    <cellStyle name="Normal 27 3 11" xfId="10640"/>
    <cellStyle name="Normal 27 3 2" xfId="10641"/>
    <cellStyle name="Normal 27 3 2 2" xfId="10642"/>
    <cellStyle name="Normal 27 3 2 2 2" xfId="10643"/>
    <cellStyle name="Normal 27 3 2 2 2 2" xfId="10644"/>
    <cellStyle name="Normal 27 3 2 2 2 2 2" xfId="10645"/>
    <cellStyle name="Normal 27 3 2 2 2 3" xfId="10646"/>
    <cellStyle name="Normal 27 3 2 2 3" xfId="10647"/>
    <cellStyle name="Normal 27 3 2 2 3 2" xfId="10648"/>
    <cellStyle name="Normal 27 3 2 2 3 2 2" xfId="10649"/>
    <cellStyle name="Normal 27 3 2 2 3 3" xfId="10650"/>
    <cellStyle name="Normal 27 3 2 2 4" xfId="10651"/>
    <cellStyle name="Normal 27 3 2 2 4 2" xfId="10652"/>
    <cellStyle name="Normal 27 3 2 2 5" xfId="10653"/>
    <cellStyle name="Normal 27 3 2 3" xfId="10654"/>
    <cellStyle name="Normal 27 3 2 3 2" xfId="10655"/>
    <cellStyle name="Normal 27 3 2 3 2 2" xfId="10656"/>
    <cellStyle name="Normal 27 3 2 3 2 2 2" xfId="10657"/>
    <cellStyle name="Normal 27 3 2 3 2 3" xfId="10658"/>
    <cellStyle name="Normal 27 3 2 3 3" xfId="10659"/>
    <cellStyle name="Normal 27 3 2 3 3 2" xfId="10660"/>
    <cellStyle name="Normal 27 3 2 3 3 2 2" xfId="10661"/>
    <cellStyle name="Normal 27 3 2 3 3 3" xfId="10662"/>
    <cellStyle name="Normal 27 3 2 3 4" xfId="10663"/>
    <cellStyle name="Normal 27 3 2 3 4 2" xfId="10664"/>
    <cellStyle name="Normal 27 3 2 3 5" xfId="10665"/>
    <cellStyle name="Normal 27 3 2 4" xfId="10666"/>
    <cellStyle name="Normal 27 3 2 4 2" xfId="10667"/>
    <cellStyle name="Normal 27 3 2 4 2 2" xfId="10668"/>
    <cellStyle name="Normal 27 3 2 4 2 2 2" xfId="10669"/>
    <cellStyle name="Normal 27 3 2 4 2 3" xfId="10670"/>
    <cellStyle name="Normal 27 3 2 4 3" xfId="10671"/>
    <cellStyle name="Normal 27 3 2 4 3 2" xfId="10672"/>
    <cellStyle name="Normal 27 3 2 4 3 2 2" xfId="10673"/>
    <cellStyle name="Normal 27 3 2 4 3 3" xfId="10674"/>
    <cellStyle name="Normal 27 3 2 4 4" xfId="10675"/>
    <cellStyle name="Normal 27 3 2 4 4 2" xfId="10676"/>
    <cellStyle name="Normal 27 3 2 4 5" xfId="10677"/>
    <cellStyle name="Normal 27 3 2 5" xfId="10678"/>
    <cellStyle name="Normal 27 3 2 5 2" xfId="10679"/>
    <cellStyle name="Normal 27 3 2 5 2 2" xfId="10680"/>
    <cellStyle name="Normal 27 3 2 5 3" xfId="10681"/>
    <cellStyle name="Normal 27 3 2 6" xfId="10682"/>
    <cellStyle name="Normal 27 3 2 6 2" xfId="10683"/>
    <cellStyle name="Normal 27 3 2 6 2 2" xfId="10684"/>
    <cellStyle name="Normal 27 3 2 6 3" xfId="10685"/>
    <cellStyle name="Normal 27 3 2 7" xfId="10686"/>
    <cellStyle name="Normal 27 3 2 7 2" xfId="10687"/>
    <cellStyle name="Normal 27 3 2 8" xfId="10688"/>
    <cellStyle name="Normal 27 3 3" xfId="10689"/>
    <cellStyle name="Normal 27 3 3 2" xfId="10690"/>
    <cellStyle name="Normal 27 3 3 3" xfId="10691"/>
    <cellStyle name="Normal 27 3 3 3 2" xfId="10692"/>
    <cellStyle name="Normal 27 3 3 3 2 2" xfId="10693"/>
    <cellStyle name="Normal 27 3 3 3 3" xfId="10694"/>
    <cellStyle name="Normal 27 3 3 4" xfId="10695"/>
    <cellStyle name="Normal 27 3 3 4 2" xfId="10696"/>
    <cellStyle name="Normal 27 3 3 4 2 2" xfId="10697"/>
    <cellStyle name="Normal 27 3 3 4 3" xfId="10698"/>
    <cellStyle name="Normal 27 3 3 5" xfId="10699"/>
    <cellStyle name="Normal 27 3 3 5 2" xfId="10700"/>
    <cellStyle name="Normal 27 3 3 6" xfId="10701"/>
    <cellStyle name="Normal 27 3 4" xfId="10702"/>
    <cellStyle name="Normal 27 3 4 2" xfId="10703"/>
    <cellStyle name="Normal 27 3 4 2 2" xfId="10704"/>
    <cellStyle name="Normal 27 3 4 2 2 2" xfId="10705"/>
    <cellStyle name="Normal 27 3 4 2 3" xfId="10706"/>
    <cellStyle name="Normal 27 3 4 3" xfId="10707"/>
    <cellStyle name="Normal 27 3 4 3 2" xfId="10708"/>
    <cellStyle name="Normal 27 3 4 3 2 2" xfId="10709"/>
    <cellStyle name="Normal 27 3 4 3 3" xfId="10710"/>
    <cellStyle name="Normal 27 3 4 4" xfId="10711"/>
    <cellStyle name="Normal 27 3 4 4 2" xfId="10712"/>
    <cellStyle name="Normal 27 3 4 5" xfId="10713"/>
    <cellStyle name="Normal 27 3 5" xfId="10714"/>
    <cellStyle name="Normal 27 3 5 2" xfId="10715"/>
    <cellStyle name="Normal 27 3 5 2 2" xfId="10716"/>
    <cellStyle name="Normal 27 3 5 2 2 2" xfId="10717"/>
    <cellStyle name="Normal 27 3 5 2 3" xfId="10718"/>
    <cellStyle name="Normal 27 3 5 3" xfId="10719"/>
    <cellStyle name="Normal 27 3 5 3 2" xfId="10720"/>
    <cellStyle name="Normal 27 3 5 3 2 2" xfId="10721"/>
    <cellStyle name="Normal 27 3 5 3 3" xfId="10722"/>
    <cellStyle name="Normal 27 3 5 4" xfId="10723"/>
    <cellStyle name="Normal 27 3 5 4 2" xfId="10724"/>
    <cellStyle name="Normal 27 3 5 5" xfId="10725"/>
    <cellStyle name="Normal 27 3 6" xfId="10726"/>
    <cellStyle name="Normal 27 3 6 2" xfId="10727"/>
    <cellStyle name="Normal 27 3 6 2 2" xfId="10728"/>
    <cellStyle name="Normal 27 3 6 3" xfId="10729"/>
    <cellStyle name="Normal 27 3 7" xfId="10730"/>
    <cellStyle name="Normal 27 3 7 2" xfId="10731"/>
    <cellStyle name="Normal 27 3 7 2 2" xfId="10732"/>
    <cellStyle name="Normal 27 3 7 3" xfId="10733"/>
    <cellStyle name="Normal 27 3 8" xfId="10734"/>
    <cellStyle name="Normal 27 3 8 2" xfId="10735"/>
    <cellStyle name="Normal 27 3 8 2 2" xfId="10736"/>
    <cellStyle name="Normal 27 3 8 3" xfId="10737"/>
    <cellStyle name="Normal 27 3 9" xfId="10738"/>
    <cellStyle name="Normal 27 3 9 2" xfId="10739"/>
    <cellStyle name="Normal 27 3 9 2 2" xfId="10740"/>
    <cellStyle name="Normal 27 3 9 3" xfId="10741"/>
    <cellStyle name="Normal 27 4" xfId="10742"/>
    <cellStyle name="Normal 27 4 2" xfId="10743"/>
    <cellStyle name="Normal 27 4 2 2" xfId="10744"/>
    <cellStyle name="Normal 27 4 2 3" xfId="10745"/>
    <cellStyle name="Normal 27 4 2 3 2" xfId="10746"/>
    <cellStyle name="Normal 27 4 2 3 2 2" xfId="10747"/>
    <cellStyle name="Normal 27 4 2 3 3" xfId="10748"/>
    <cellStyle name="Normal 27 4 2 4" xfId="10749"/>
    <cellStyle name="Normal 27 4 2 4 2" xfId="10750"/>
    <cellStyle name="Normal 27 4 2 4 2 2" xfId="10751"/>
    <cellStyle name="Normal 27 4 2 4 3" xfId="10752"/>
    <cellStyle name="Normal 27 4 2 5" xfId="10753"/>
    <cellStyle name="Normal 27 4 2 5 2" xfId="10754"/>
    <cellStyle name="Normal 27 4 2 6" xfId="10755"/>
    <cellStyle name="Normal 27 4 3" xfId="10756"/>
    <cellStyle name="Normal 27 4 3 2" xfId="10757"/>
    <cellStyle name="Normal 27 4 3 2 2" xfId="10758"/>
    <cellStyle name="Normal 27 4 3 2 2 2" xfId="10759"/>
    <cellStyle name="Normal 27 4 3 2 3" xfId="10760"/>
    <cellStyle name="Normal 27 4 3 3" xfId="10761"/>
    <cellStyle name="Normal 27 4 3 3 2" xfId="10762"/>
    <cellStyle name="Normal 27 4 3 3 2 2" xfId="10763"/>
    <cellStyle name="Normal 27 4 3 3 3" xfId="10764"/>
    <cellStyle name="Normal 27 4 3 4" xfId="10765"/>
    <cellStyle name="Normal 27 4 3 4 2" xfId="10766"/>
    <cellStyle name="Normal 27 4 3 5" xfId="10767"/>
    <cellStyle name="Normal 27 4 4" xfId="10768"/>
    <cellStyle name="Normal 27 4 4 2" xfId="10769"/>
    <cellStyle name="Normal 27 4 4 2 2" xfId="10770"/>
    <cellStyle name="Normal 27 4 4 2 2 2" xfId="10771"/>
    <cellStyle name="Normal 27 4 4 2 3" xfId="10772"/>
    <cellStyle name="Normal 27 4 4 3" xfId="10773"/>
    <cellStyle name="Normal 27 4 4 3 2" xfId="10774"/>
    <cellStyle name="Normal 27 4 4 3 2 2" xfId="10775"/>
    <cellStyle name="Normal 27 4 4 3 3" xfId="10776"/>
    <cellStyle name="Normal 27 4 4 4" xfId="10777"/>
    <cellStyle name="Normal 27 4 4 4 2" xfId="10778"/>
    <cellStyle name="Normal 27 4 4 5" xfId="10779"/>
    <cellStyle name="Normal 27 4 5" xfId="10780"/>
    <cellStyle name="Normal 27 4 5 2" xfId="10781"/>
    <cellStyle name="Normal 27 4 5 2 2" xfId="10782"/>
    <cellStyle name="Normal 27 4 5 3" xfId="10783"/>
    <cellStyle name="Normal 27 4 6" xfId="10784"/>
    <cellStyle name="Normal 27 4 6 2" xfId="10785"/>
    <cellStyle name="Normal 27 4 6 2 2" xfId="10786"/>
    <cellStyle name="Normal 27 4 6 3" xfId="10787"/>
    <cellStyle name="Normal 27 4 7" xfId="10788"/>
    <cellStyle name="Normal 27 4 7 2" xfId="10789"/>
    <cellStyle name="Normal 27 4 8" xfId="10790"/>
    <cellStyle name="Normal 27 5" xfId="10791"/>
    <cellStyle name="Normal 27 5 2" xfId="10792"/>
    <cellStyle name="Normal 27 5 3" xfId="10793"/>
    <cellStyle name="Normal 27 5 3 2" xfId="10794"/>
    <cellStyle name="Normal 27 5 3 2 2" xfId="10795"/>
    <cellStyle name="Normal 27 5 3 3" xfId="10796"/>
    <cellStyle name="Normal 27 5 4" xfId="10797"/>
    <cellStyle name="Normal 27 5 4 2" xfId="10798"/>
    <cellStyle name="Normal 27 5 4 2 2" xfId="10799"/>
    <cellStyle name="Normal 27 5 4 3" xfId="10800"/>
    <cellStyle name="Normal 27 5 5" xfId="10801"/>
    <cellStyle name="Normal 27 5 5 2" xfId="10802"/>
    <cellStyle name="Normal 27 5 6" xfId="10803"/>
    <cellStyle name="Normal 27 6" xfId="10804"/>
    <cellStyle name="Normal 27 6 2" xfId="10805"/>
    <cellStyle name="Normal 27 6 3" xfId="10806"/>
    <cellStyle name="Normal 27 6 3 2" xfId="10807"/>
    <cellStyle name="Normal 27 6 3 2 2" xfId="10808"/>
    <cellStyle name="Normal 27 6 3 3" xfId="10809"/>
    <cellStyle name="Normal 27 6 4" xfId="10810"/>
    <cellStyle name="Normal 27 6 4 2" xfId="10811"/>
    <cellStyle name="Normal 27 6 4 2 2" xfId="10812"/>
    <cellStyle name="Normal 27 6 4 3" xfId="10813"/>
    <cellStyle name="Normal 27 6 5" xfId="10814"/>
    <cellStyle name="Normal 27 6 5 2" xfId="10815"/>
    <cellStyle name="Normal 27 6 6" xfId="10816"/>
    <cellStyle name="Normal 27 7" xfId="10817"/>
    <cellStyle name="Normal 27 8" xfId="10818"/>
    <cellStyle name="Normal 27 9" xfId="10819"/>
    <cellStyle name="Normal 270" xfId="18480"/>
    <cellStyle name="Normal 271" xfId="18481"/>
    <cellStyle name="Normal 272" xfId="18482"/>
    <cellStyle name="Normal 273" xfId="18483"/>
    <cellStyle name="Normal 274" xfId="18484"/>
    <cellStyle name="Normal 275" xfId="18485"/>
    <cellStyle name="Normal 276" xfId="18486"/>
    <cellStyle name="Normal 277" xfId="18487"/>
    <cellStyle name="Normal 278" xfId="18488"/>
    <cellStyle name="Normal 279" xfId="18489"/>
    <cellStyle name="Normal 28" xfId="10820"/>
    <cellStyle name="Normal 28 10" xfId="10821"/>
    <cellStyle name="Normal 28 10 2" xfId="10822"/>
    <cellStyle name="Normal 28 10 2 2" xfId="10823"/>
    <cellStyle name="Normal 28 10 3" xfId="10824"/>
    <cellStyle name="Normal 28 11" xfId="10825"/>
    <cellStyle name="Normal 28 11 2" xfId="10826"/>
    <cellStyle name="Normal 28 12" xfId="10827"/>
    <cellStyle name="Normal 28 2" xfId="10828"/>
    <cellStyle name="Normal 28 2 10" xfId="10829"/>
    <cellStyle name="Normal 28 2 10 2" xfId="10830"/>
    <cellStyle name="Normal 28 2 11" xfId="10831"/>
    <cellStyle name="Normal 28 2 2" xfId="10832"/>
    <cellStyle name="Normal 28 2 2 2" xfId="10833"/>
    <cellStyle name="Normal 28 2 2 2 2" xfId="10834"/>
    <cellStyle name="Normal 28 2 2 2 2 2" xfId="10835"/>
    <cellStyle name="Normal 28 2 2 2 2 2 2" xfId="10836"/>
    <cellStyle name="Normal 28 2 2 2 2 3" xfId="10837"/>
    <cellStyle name="Normal 28 2 2 2 3" xfId="10838"/>
    <cellStyle name="Normal 28 2 2 2 3 2" xfId="10839"/>
    <cellStyle name="Normal 28 2 2 2 3 2 2" xfId="10840"/>
    <cellStyle name="Normal 28 2 2 2 3 3" xfId="10841"/>
    <cellStyle name="Normal 28 2 2 2 4" xfId="10842"/>
    <cellStyle name="Normal 28 2 2 2 4 2" xfId="10843"/>
    <cellStyle name="Normal 28 2 2 2 5" xfId="10844"/>
    <cellStyle name="Normal 28 2 2 3" xfId="10845"/>
    <cellStyle name="Normal 28 2 2 3 2" xfId="10846"/>
    <cellStyle name="Normal 28 2 2 3 2 2" xfId="10847"/>
    <cellStyle name="Normal 28 2 2 3 2 2 2" xfId="10848"/>
    <cellStyle name="Normal 28 2 2 3 2 3" xfId="10849"/>
    <cellStyle name="Normal 28 2 2 3 3" xfId="10850"/>
    <cellStyle name="Normal 28 2 2 3 3 2" xfId="10851"/>
    <cellStyle name="Normal 28 2 2 3 3 2 2" xfId="10852"/>
    <cellStyle name="Normal 28 2 2 3 3 3" xfId="10853"/>
    <cellStyle name="Normal 28 2 2 3 4" xfId="10854"/>
    <cellStyle name="Normal 28 2 2 3 4 2" xfId="10855"/>
    <cellStyle name="Normal 28 2 2 3 5" xfId="10856"/>
    <cellStyle name="Normal 28 2 2 4" xfId="10857"/>
    <cellStyle name="Normal 28 2 2 4 2" xfId="10858"/>
    <cellStyle name="Normal 28 2 2 4 2 2" xfId="10859"/>
    <cellStyle name="Normal 28 2 2 4 2 2 2" xfId="10860"/>
    <cellStyle name="Normal 28 2 2 4 2 3" xfId="10861"/>
    <cellStyle name="Normal 28 2 2 4 3" xfId="10862"/>
    <cellStyle name="Normal 28 2 2 4 3 2" xfId="10863"/>
    <cellStyle name="Normal 28 2 2 4 3 2 2" xfId="10864"/>
    <cellStyle name="Normal 28 2 2 4 3 3" xfId="10865"/>
    <cellStyle name="Normal 28 2 2 4 4" xfId="10866"/>
    <cellStyle name="Normal 28 2 2 4 4 2" xfId="10867"/>
    <cellStyle name="Normal 28 2 2 4 5" xfId="10868"/>
    <cellStyle name="Normal 28 2 2 5" xfId="10869"/>
    <cellStyle name="Normal 28 2 2 5 2" xfId="10870"/>
    <cellStyle name="Normal 28 2 2 5 2 2" xfId="10871"/>
    <cellStyle name="Normal 28 2 2 5 3" xfId="10872"/>
    <cellStyle name="Normal 28 2 2 6" xfId="10873"/>
    <cellStyle name="Normal 28 2 2 6 2" xfId="10874"/>
    <cellStyle name="Normal 28 2 2 6 2 2" xfId="10875"/>
    <cellStyle name="Normal 28 2 2 6 3" xfId="10876"/>
    <cellStyle name="Normal 28 2 2 7" xfId="10877"/>
    <cellStyle name="Normal 28 2 2 7 2" xfId="10878"/>
    <cellStyle name="Normal 28 2 2 8" xfId="10879"/>
    <cellStyle name="Normal 28 2 3" xfId="10880"/>
    <cellStyle name="Normal 28 2 3 2" xfId="10881"/>
    <cellStyle name="Normal 28 2 3 2 2" xfId="10882"/>
    <cellStyle name="Normal 28 2 3 2 2 2" xfId="10883"/>
    <cellStyle name="Normal 28 2 3 2 3" xfId="10884"/>
    <cellStyle name="Normal 28 2 3 3" xfId="10885"/>
    <cellStyle name="Normal 28 2 3 3 2" xfId="10886"/>
    <cellStyle name="Normal 28 2 3 3 2 2" xfId="10887"/>
    <cellStyle name="Normal 28 2 3 3 3" xfId="10888"/>
    <cellStyle name="Normal 28 2 3 4" xfId="10889"/>
    <cellStyle name="Normal 28 2 3 4 2" xfId="10890"/>
    <cellStyle name="Normal 28 2 3 5" xfId="10891"/>
    <cellStyle name="Normal 28 2 4" xfId="10892"/>
    <cellStyle name="Normal 28 2 4 2" xfId="10893"/>
    <cellStyle name="Normal 28 2 4 2 2" xfId="10894"/>
    <cellStyle name="Normal 28 2 4 2 2 2" xfId="10895"/>
    <cellStyle name="Normal 28 2 4 2 3" xfId="10896"/>
    <cellStyle name="Normal 28 2 4 3" xfId="10897"/>
    <cellStyle name="Normal 28 2 4 3 2" xfId="10898"/>
    <cellStyle name="Normal 28 2 4 3 2 2" xfId="10899"/>
    <cellStyle name="Normal 28 2 4 3 3" xfId="10900"/>
    <cellStyle name="Normal 28 2 4 4" xfId="10901"/>
    <cellStyle name="Normal 28 2 4 4 2" xfId="10902"/>
    <cellStyle name="Normal 28 2 4 5" xfId="10903"/>
    <cellStyle name="Normal 28 2 5" xfId="10904"/>
    <cellStyle name="Normal 28 2 5 2" xfId="10905"/>
    <cellStyle name="Normal 28 2 5 2 2" xfId="10906"/>
    <cellStyle name="Normal 28 2 5 2 2 2" xfId="10907"/>
    <cellStyle name="Normal 28 2 5 2 3" xfId="10908"/>
    <cellStyle name="Normal 28 2 5 3" xfId="10909"/>
    <cellStyle name="Normal 28 2 5 3 2" xfId="10910"/>
    <cellStyle name="Normal 28 2 5 3 2 2" xfId="10911"/>
    <cellStyle name="Normal 28 2 5 3 3" xfId="10912"/>
    <cellStyle name="Normal 28 2 5 4" xfId="10913"/>
    <cellStyle name="Normal 28 2 5 4 2" xfId="10914"/>
    <cellStyle name="Normal 28 2 5 5" xfId="10915"/>
    <cellStyle name="Normal 28 2 6" xfId="10916"/>
    <cellStyle name="Normal 28 2 6 2" xfId="10917"/>
    <cellStyle name="Normal 28 2 6 2 2" xfId="10918"/>
    <cellStyle name="Normal 28 2 6 3" xfId="10919"/>
    <cellStyle name="Normal 28 2 7" xfId="10920"/>
    <cellStyle name="Normal 28 2 7 2" xfId="10921"/>
    <cellStyle name="Normal 28 2 7 2 2" xfId="10922"/>
    <cellStyle name="Normal 28 2 7 3" xfId="10923"/>
    <cellStyle name="Normal 28 2 8" xfId="10924"/>
    <cellStyle name="Normal 28 2 8 2" xfId="10925"/>
    <cellStyle name="Normal 28 2 8 2 2" xfId="10926"/>
    <cellStyle name="Normal 28 2 8 3" xfId="10927"/>
    <cellStyle name="Normal 28 2 9" xfId="10928"/>
    <cellStyle name="Normal 28 2 9 2" xfId="10929"/>
    <cellStyle name="Normal 28 2 9 2 2" xfId="10930"/>
    <cellStyle name="Normal 28 2 9 3" xfId="10931"/>
    <cellStyle name="Normal 28 3" xfId="10932"/>
    <cellStyle name="Normal 28 3 10" xfId="10933"/>
    <cellStyle name="Normal 28 3 10 2" xfId="10934"/>
    <cellStyle name="Normal 28 3 11" xfId="10935"/>
    <cellStyle name="Normal 28 3 2" xfId="10936"/>
    <cellStyle name="Normal 28 3 2 2" xfId="10937"/>
    <cellStyle name="Normal 28 3 2 2 2" xfId="10938"/>
    <cellStyle name="Normal 28 3 2 2 2 2" xfId="10939"/>
    <cellStyle name="Normal 28 3 2 2 2 2 2" xfId="10940"/>
    <cellStyle name="Normal 28 3 2 2 2 3" xfId="10941"/>
    <cellStyle name="Normal 28 3 2 2 3" xfId="10942"/>
    <cellStyle name="Normal 28 3 2 2 3 2" xfId="10943"/>
    <cellStyle name="Normal 28 3 2 2 3 2 2" xfId="10944"/>
    <cellStyle name="Normal 28 3 2 2 3 3" xfId="10945"/>
    <cellStyle name="Normal 28 3 2 2 4" xfId="10946"/>
    <cellStyle name="Normal 28 3 2 2 4 2" xfId="10947"/>
    <cellStyle name="Normal 28 3 2 2 5" xfId="10948"/>
    <cellStyle name="Normal 28 3 2 3" xfId="10949"/>
    <cellStyle name="Normal 28 3 2 3 2" xfId="10950"/>
    <cellStyle name="Normal 28 3 2 3 2 2" xfId="10951"/>
    <cellStyle name="Normal 28 3 2 3 2 2 2" xfId="10952"/>
    <cellStyle name="Normal 28 3 2 3 2 3" xfId="10953"/>
    <cellStyle name="Normal 28 3 2 3 3" xfId="10954"/>
    <cellStyle name="Normal 28 3 2 3 3 2" xfId="10955"/>
    <cellStyle name="Normal 28 3 2 3 3 2 2" xfId="10956"/>
    <cellStyle name="Normal 28 3 2 3 3 3" xfId="10957"/>
    <cellStyle name="Normal 28 3 2 3 4" xfId="10958"/>
    <cellStyle name="Normal 28 3 2 3 4 2" xfId="10959"/>
    <cellStyle name="Normal 28 3 2 3 5" xfId="10960"/>
    <cellStyle name="Normal 28 3 2 4" xfId="10961"/>
    <cellStyle name="Normal 28 3 2 4 2" xfId="10962"/>
    <cellStyle name="Normal 28 3 2 4 2 2" xfId="10963"/>
    <cellStyle name="Normal 28 3 2 4 2 2 2" xfId="10964"/>
    <cellStyle name="Normal 28 3 2 4 2 3" xfId="10965"/>
    <cellStyle name="Normal 28 3 2 4 3" xfId="10966"/>
    <cellStyle name="Normal 28 3 2 4 3 2" xfId="10967"/>
    <cellStyle name="Normal 28 3 2 4 3 2 2" xfId="10968"/>
    <cellStyle name="Normal 28 3 2 4 3 3" xfId="10969"/>
    <cellStyle name="Normal 28 3 2 4 4" xfId="10970"/>
    <cellStyle name="Normal 28 3 2 4 4 2" xfId="10971"/>
    <cellStyle name="Normal 28 3 2 4 5" xfId="10972"/>
    <cellStyle name="Normal 28 3 2 5" xfId="10973"/>
    <cellStyle name="Normal 28 3 2 5 2" xfId="10974"/>
    <cellStyle name="Normal 28 3 2 5 2 2" xfId="10975"/>
    <cellStyle name="Normal 28 3 2 5 3" xfId="10976"/>
    <cellStyle name="Normal 28 3 2 6" xfId="10977"/>
    <cellStyle name="Normal 28 3 2 6 2" xfId="10978"/>
    <cellStyle name="Normal 28 3 2 6 2 2" xfId="10979"/>
    <cellStyle name="Normal 28 3 2 6 3" xfId="10980"/>
    <cellStyle name="Normal 28 3 2 7" xfId="10981"/>
    <cellStyle name="Normal 28 3 2 7 2" xfId="10982"/>
    <cellStyle name="Normal 28 3 2 8" xfId="10983"/>
    <cellStyle name="Normal 28 3 3" xfId="10984"/>
    <cellStyle name="Normal 28 3 3 2" xfId="10985"/>
    <cellStyle name="Normal 28 3 3 2 2" xfId="10986"/>
    <cellStyle name="Normal 28 3 3 2 2 2" xfId="10987"/>
    <cellStyle name="Normal 28 3 3 2 3" xfId="10988"/>
    <cellStyle name="Normal 28 3 3 3" xfId="10989"/>
    <cellStyle name="Normal 28 3 3 3 2" xfId="10990"/>
    <cellStyle name="Normal 28 3 3 3 2 2" xfId="10991"/>
    <cellStyle name="Normal 28 3 3 3 3" xfId="10992"/>
    <cellStyle name="Normal 28 3 3 4" xfId="10993"/>
    <cellStyle name="Normal 28 3 3 4 2" xfId="10994"/>
    <cellStyle name="Normal 28 3 3 5" xfId="10995"/>
    <cellStyle name="Normal 28 3 4" xfId="10996"/>
    <cellStyle name="Normal 28 3 4 2" xfId="10997"/>
    <cellStyle name="Normal 28 3 4 2 2" xfId="10998"/>
    <cellStyle name="Normal 28 3 4 2 2 2" xfId="10999"/>
    <cellStyle name="Normal 28 3 4 2 3" xfId="11000"/>
    <cellStyle name="Normal 28 3 4 3" xfId="11001"/>
    <cellStyle name="Normal 28 3 4 3 2" xfId="11002"/>
    <cellStyle name="Normal 28 3 4 3 2 2" xfId="11003"/>
    <cellStyle name="Normal 28 3 4 3 3" xfId="11004"/>
    <cellStyle name="Normal 28 3 4 4" xfId="11005"/>
    <cellStyle name="Normal 28 3 4 4 2" xfId="11006"/>
    <cellStyle name="Normal 28 3 4 5" xfId="11007"/>
    <cellStyle name="Normal 28 3 5" xfId="11008"/>
    <cellStyle name="Normal 28 3 5 2" xfId="11009"/>
    <cellStyle name="Normal 28 3 5 2 2" xfId="11010"/>
    <cellStyle name="Normal 28 3 5 2 2 2" xfId="11011"/>
    <cellStyle name="Normal 28 3 5 2 3" xfId="11012"/>
    <cellStyle name="Normal 28 3 5 3" xfId="11013"/>
    <cellStyle name="Normal 28 3 5 3 2" xfId="11014"/>
    <cellStyle name="Normal 28 3 5 3 2 2" xfId="11015"/>
    <cellStyle name="Normal 28 3 5 3 3" xfId="11016"/>
    <cellStyle name="Normal 28 3 5 4" xfId="11017"/>
    <cellStyle name="Normal 28 3 5 4 2" xfId="11018"/>
    <cellStyle name="Normal 28 3 5 5" xfId="11019"/>
    <cellStyle name="Normal 28 3 6" xfId="11020"/>
    <cellStyle name="Normal 28 3 6 2" xfId="11021"/>
    <cellStyle name="Normal 28 3 6 2 2" xfId="11022"/>
    <cellStyle name="Normal 28 3 6 3" xfId="11023"/>
    <cellStyle name="Normal 28 3 7" xfId="11024"/>
    <cellStyle name="Normal 28 3 7 2" xfId="11025"/>
    <cellStyle name="Normal 28 3 7 2 2" xfId="11026"/>
    <cellStyle name="Normal 28 3 7 3" xfId="11027"/>
    <cellStyle name="Normal 28 3 8" xfId="11028"/>
    <cellStyle name="Normal 28 3 8 2" xfId="11029"/>
    <cellStyle name="Normal 28 3 8 2 2" xfId="11030"/>
    <cellStyle name="Normal 28 3 8 3" xfId="11031"/>
    <cellStyle name="Normal 28 3 9" xfId="11032"/>
    <cellStyle name="Normal 28 3 9 2" xfId="11033"/>
    <cellStyle name="Normal 28 3 9 2 2" xfId="11034"/>
    <cellStyle name="Normal 28 3 9 3" xfId="11035"/>
    <cellStyle name="Normal 28 4" xfId="11036"/>
    <cellStyle name="Normal 28 4 2" xfId="11037"/>
    <cellStyle name="Normal 28 4 2 2" xfId="11038"/>
    <cellStyle name="Normal 28 4 2 2 2" xfId="11039"/>
    <cellStyle name="Normal 28 4 2 2 2 2" xfId="11040"/>
    <cellStyle name="Normal 28 4 2 2 3" xfId="11041"/>
    <cellStyle name="Normal 28 4 2 3" xfId="11042"/>
    <cellStyle name="Normal 28 4 2 3 2" xfId="11043"/>
    <cellStyle name="Normal 28 4 2 3 2 2" xfId="11044"/>
    <cellStyle name="Normal 28 4 2 3 3" xfId="11045"/>
    <cellStyle name="Normal 28 4 2 4" xfId="11046"/>
    <cellStyle name="Normal 28 4 2 4 2" xfId="11047"/>
    <cellStyle name="Normal 28 4 2 5" xfId="11048"/>
    <cellStyle name="Normal 28 4 3" xfId="11049"/>
    <cellStyle name="Normal 28 4 3 2" xfId="11050"/>
    <cellStyle name="Normal 28 4 3 2 2" xfId="11051"/>
    <cellStyle name="Normal 28 4 3 2 2 2" xfId="11052"/>
    <cellStyle name="Normal 28 4 3 2 3" xfId="11053"/>
    <cellStyle name="Normal 28 4 3 3" xfId="11054"/>
    <cellStyle name="Normal 28 4 3 3 2" xfId="11055"/>
    <cellStyle name="Normal 28 4 3 3 2 2" xfId="11056"/>
    <cellStyle name="Normal 28 4 3 3 3" xfId="11057"/>
    <cellStyle name="Normal 28 4 3 4" xfId="11058"/>
    <cellStyle name="Normal 28 4 3 4 2" xfId="11059"/>
    <cellStyle name="Normal 28 4 3 5" xfId="11060"/>
    <cellStyle name="Normal 28 4 4" xfId="11061"/>
    <cellStyle name="Normal 28 4 4 2" xfId="11062"/>
    <cellStyle name="Normal 28 4 4 2 2" xfId="11063"/>
    <cellStyle name="Normal 28 4 4 2 2 2" xfId="11064"/>
    <cellStyle name="Normal 28 4 4 2 3" xfId="11065"/>
    <cellStyle name="Normal 28 4 4 3" xfId="11066"/>
    <cellStyle name="Normal 28 4 4 3 2" xfId="11067"/>
    <cellStyle name="Normal 28 4 4 3 2 2" xfId="11068"/>
    <cellStyle name="Normal 28 4 4 3 3" xfId="11069"/>
    <cellStyle name="Normal 28 4 4 4" xfId="11070"/>
    <cellStyle name="Normal 28 4 4 4 2" xfId="11071"/>
    <cellStyle name="Normal 28 4 4 5" xfId="11072"/>
    <cellStyle name="Normal 28 4 5" xfId="11073"/>
    <cellStyle name="Normal 28 4 5 2" xfId="11074"/>
    <cellStyle name="Normal 28 4 5 2 2" xfId="11075"/>
    <cellStyle name="Normal 28 4 5 3" xfId="11076"/>
    <cellStyle name="Normal 28 4 6" xfId="11077"/>
    <cellStyle name="Normal 28 4 6 2" xfId="11078"/>
    <cellStyle name="Normal 28 4 6 2 2" xfId="11079"/>
    <cellStyle name="Normal 28 4 6 3" xfId="11080"/>
    <cellStyle name="Normal 28 4 7" xfId="11081"/>
    <cellStyle name="Normal 28 4 7 2" xfId="11082"/>
    <cellStyle name="Normal 28 4 8" xfId="11083"/>
    <cellStyle name="Normal 28 5" xfId="11084"/>
    <cellStyle name="Normal 28 5 2" xfId="11085"/>
    <cellStyle name="Normal 28 5 3" xfId="11086"/>
    <cellStyle name="Normal 28 5 3 2" xfId="11087"/>
    <cellStyle name="Normal 28 5 3 2 2" xfId="11088"/>
    <cellStyle name="Normal 28 5 3 3" xfId="11089"/>
    <cellStyle name="Normal 28 5 4" xfId="11090"/>
    <cellStyle name="Normal 28 5 4 2" xfId="11091"/>
    <cellStyle name="Normal 28 5 4 2 2" xfId="11092"/>
    <cellStyle name="Normal 28 5 4 3" xfId="11093"/>
    <cellStyle name="Normal 28 5 5" xfId="11094"/>
    <cellStyle name="Normal 28 5 5 2" xfId="11095"/>
    <cellStyle name="Normal 28 5 6" xfId="11096"/>
    <cellStyle name="Normal 28 6" xfId="11097"/>
    <cellStyle name="Normal 28 6 2" xfId="11098"/>
    <cellStyle name="Normal 28 6 2 2" xfId="11099"/>
    <cellStyle name="Normal 28 6 2 2 2" xfId="11100"/>
    <cellStyle name="Normal 28 6 2 3" xfId="11101"/>
    <cellStyle name="Normal 28 6 3" xfId="11102"/>
    <cellStyle name="Normal 28 6 3 2" xfId="11103"/>
    <cellStyle name="Normal 28 6 3 2 2" xfId="11104"/>
    <cellStyle name="Normal 28 6 3 3" xfId="11105"/>
    <cellStyle name="Normal 28 6 4" xfId="11106"/>
    <cellStyle name="Normal 28 6 4 2" xfId="11107"/>
    <cellStyle name="Normal 28 6 5" xfId="11108"/>
    <cellStyle name="Normal 28 7" xfId="11109"/>
    <cellStyle name="Normal 28 7 2" xfId="11110"/>
    <cellStyle name="Normal 28 7 2 2" xfId="11111"/>
    <cellStyle name="Normal 28 7 2 2 2" xfId="11112"/>
    <cellStyle name="Normal 28 7 2 3" xfId="11113"/>
    <cellStyle name="Normal 28 7 3" xfId="11114"/>
    <cellStyle name="Normal 28 7 3 2" xfId="11115"/>
    <cellStyle name="Normal 28 7 3 2 2" xfId="11116"/>
    <cellStyle name="Normal 28 7 3 3" xfId="11117"/>
    <cellStyle name="Normal 28 7 4" xfId="11118"/>
    <cellStyle name="Normal 28 7 4 2" xfId="11119"/>
    <cellStyle name="Normal 28 7 5" xfId="11120"/>
    <cellStyle name="Normal 28 8" xfId="11121"/>
    <cellStyle name="Normal 28 9" xfId="11122"/>
    <cellStyle name="Normal 28 9 2" xfId="11123"/>
    <cellStyle name="Normal 28 9 2 2" xfId="11124"/>
    <cellStyle name="Normal 28 9 3" xfId="11125"/>
    <cellStyle name="Normal 280" xfId="18490"/>
    <cellStyle name="Normal 281" xfId="18491"/>
    <cellStyle name="Normal 282" xfId="18492"/>
    <cellStyle name="Normal 283" xfId="18493"/>
    <cellStyle name="Normal 284" xfId="18494"/>
    <cellStyle name="Normal 285" xfId="18495"/>
    <cellStyle name="Normal 286" xfId="18496"/>
    <cellStyle name="Normal 287" xfId="18497"/>
    <cellStyle name="Normal 288" xfId="18498"/>
    <cellStyle name="Normal 289" xfId="18499"/>
    <cellStyle name="Normal 29" xfId="11126"/>
    <cellStyle name="Normal 29 10" xfId="11127"/>
    <cellStyle name="Normal 29 10 2" xfId="11128"/>
    <cellStyle name="Normal 29 10 2 2" xfId="11129"/>
    <cellStyle name="Normal 29 10 3" xfId="11130"/>
    <cellStyle name="Normal 29 11" xfId="11131"/>
    <cellStyle name="Normal 29 11 2" xfId="11132"/>
    <cellStyle name="Normal 29 12" xfId="11133"/>
    <cellStyle name="Normal 29 2" xfId="11134"/>
    <cellStyle name="Normal 29 2 10" xfId="11135"/>
    <cellStyle name="Normal 29 2 10 2" xfId="11136"/>
    <cellStyle name="Normal 29 2 11" xfId="11137"/>
    <cellStyle name="Normal 29 2 2" xfId="11138"/>
    <cellStyle name="Normal 29 2 2 2" xfId="11139"/>
    <cellStyle name="Normal 29 2 2 2 2" xfId="11140"/>
    <cellStyle name="Normal 29 2 2 2 2 2" xfId="11141"/>
    <cellStyle name="Normal 29 2 2 2 2 2 2" xfId="11142"/>
    <cellStyle name="Normal 29 2 2 2 2 3" xfId="11143"/>
    <cellStyle name="Normal 29 2 2 2 3" xfId="11144"/>
    <cellStyle name="Normal 29 2 2 2 3 2" xfId="11145"/>
    <cellStyle name="Normal 29 2 2 2 3 2 2" xfId="11146"/>
    <cellStyle name="Normal 29 2 2 2 3 3" xfId="11147"/>
    <cellStyle name="Normal 29 2 2 2 4" xfId="11148"/>
    <cellStyle name="Normal 29 2 2 2 4 2" xfId="11149"/>
    <cellStyle name="Normal 29 2 2 2 5" xfId="11150"/>
    <cellStyle name="Normal 29 2 2 3" xfId="11151"/>
    <cellStyle name="Normal 29 2 2 3 2" xfId="11152"/>
    <cellStyle name="Normal 29 2 2 3 2 2" xfId="11153"/>
    <cellStyle name="Normal 29 2 2 3 2 2 2" xfId="11154"/>
    <cellStyle name="Normal 29 2 2 3 2 3" xfId="11155"/>
    <cellStyle name="Normal 29 2 2 3 3" xfId="11156"/>
    <cellStyle name="Normal 29 2 2 3 3 2" xfId="11157"/>
    <cellStyle name="Normal 29 2 2 3 3 2 2" xfId="11158"/>
    <cellStyle name="Normal 29 2 2 3 3 3" xfId="11159"/>
    <cellStyle name="Normal 29 2 2 3 4" xfId="11160"/>
    <cellStyle name="Normal 29 2 2 3 4 2" xfId="11161"/>
    <cellStyle name="Normal 29 2 2 3 5" xfId="11162"/>
    <cellStyle name="Normal 29 2 2 4" xfId="11163"/>
    <cellStyle name="Normal 29 2 2 4 2" xfId="11164"/>
    <cellStyle name="Normal 29 2 2 4 2 2" xfId="11165"/>
    <cellStyle name="Normal 29 2 2 4 2 2 2" xfId="11166"/>
    <cellStyle name="Normal 29 2 2 4 2 3" xfId="11167"/>
    <cellStyle name="Normal 29 2 2 4 3" xfId="11168"/>
    <cellStyle name="Normal 29 2 2 4 3 2" xfId="11169"/>
    <cellStyle name="Normal 29 2 2 4 3 2 2" xfId="11170"/>
    <cellStyle name="Normal 29 2 2 4 3 3" xfId="11171"/>
    <cellStyle name="Normal 29 2 2 4 4" xfId="11172"/>
    <cellStyle name="Normal 29 2 2 4 4 2" xfId="11173"/>
    <cellStyle name="Normal 29 2 2 4 5" xfId="11174"/>
    <cellStyle name="Normal 29 2 2 5" xfId="11175"/>
    <cellStyle name="Normal 29 2 2 5 2" xfId="11176"/>
    <cellStyle name="Normal 29 2 2 5 2 2" xfId="11177"/>
    <cellStyle name="Normal 29 2 2 5 3" xfId="11178"/>
    <cellStyle name="Normal 29 2 2 6" xfId="11179"/>
    <cellStyle name="Normal 29 2 2 6 2" xfId="11180"/>
    <cellStyle name="Normal 29 2 2 6 2 2" xfId="11181"/>
    <cellStyle name="Normal 29 2 2 6 3" xfId="11182"/>
    <cellStyle name="Normal 29 2 2 7" xfId="11183"/>
    <cellStyle name="Normal 29 2 2 7 2" xfId="11184"/>
    <cellStyle name="Normal 29 2 2 8" xfId="11185"/>
    <cellStyle name="Normal 29 2 3" xfId="11186"/>
    <cellStyle name="Normal 29 2 3 2" xfId="11187"/>
    <cellStyle name="Normal 29 2 3 2 2" xfId="11188"/>
    <cellStyle name="Normal 29 2 3 2 2 2" xfId="11189"/>
    <cellStyle name="Normal 29 2 3 2 3" xfId="11190"/>
    <cellStyle name="Normal 29 2 3 3" xfId="11191"/>
    <cellStyle name="Normal 29 2 3 3 2" xfId="11192"/>
    <cellStyle name="Normal 29 2 3 3 2 2" xfId="11193"/>
    <cellStyle name="Normal 29 2 3 3 3" xfId="11194"/>
    <cellStyle name="Normal 29 2 3 4" xfId="11195"/>
    <cellStyle name="Normal 29 2 3 4 2" xfId="11196"/>
    <cellStyle name="Normal 29 2 3 5" xfId="11197"/>
    <cellStyle name="Normal 29 2 4" xfId="11198"/>
    <cellStyle name="Normal 29 2 4 2" xfId="11199"/>
    <cellStyle name="Normal 29 2 4 2 2" xfId="11200"/>
    <cellStyle name="Normal 29 2 4 2 2 2" xfId="11201"/>
    <cellStyle name="Normal 29 2 4 2 3" xfId="11202"/>
    <cellStyle name="Normal 29 2 4 3" xfId="11203"/>
    <cellStyle name="Normal 29 2 4 3 2" xfId="11204"/>
    <cellStyle name="Normal 29 2 4 3 2 2" xfId="11205"/>
    <cellStyle name="Normal 29 2 4 3 3" xfId="11206"/>
    <cellStyle name="Normal 29 2 4 4" xfId="11207"/>
    <cellStyle name="Normal 29 2 4 4 2" xfId="11208"/>
    <cellStyle name="Normal 29 2 4 5" xfId="11209"/>
    <cellStyle name="Normal 29 2 5" xfId="11210"/>
    <cellStyle name="Normal 29 2 5 2" xfId="11211"/>
    <cellStyle name="Normal 29 2 5 2 2" xfId="11212"/>
    <cellStyle name="Normal 29 2 5 2 2 2" xfId="11213"/>
    <cellStyle name="Normal 29 2 5 2 3" xfId="11214"/>
    <cellStyle name="Normal 29 2 5 3" xfId="11215"/>
    <cellStyle name="Normal 29 2 5 3 2" xfId="11216"/>
    <cellStyle name="Normal 29 2 5 3 2 2" xfId="11217"/>
    <cellStyle name="Normal 29 2 5 3 3" xfId="11218"/>
    <cellStyle name="Normal 29 2 5 4" xfId="11219"/>
    <cellStyle name="Normal 29 2 5 4 2" xfId="11220"/>
    <cellStyle name="Normal 29 2 5 5" xfId="11221"/>
    <cellStyle name="Normal 29 2 6" xfId="11222"/>
    <cellStyle name="Normal 29 2 6 2" xfId="11223"/>
    <cellStyle name="Normal 29 2 6 2 2" xfId="11224"/>
    <cellStyle name="Normal 29 2 6 3" xfId="11225"/>
    <cellStyle name="Normal 29 2 7" xfId="11226"/>
    <cellStyle name="Normal 29 2 7 2" xfId="11227"/>
    <cellStyle name="Normal 29 2 7 2 2" xfId="11228"/>
    <cellStyle name="Normal 29 2 7 3" xfId="11229"/>
    <cellStyle name="Normal 29 2 8" xfId="11230"/>
    <cellStyle name="Normal 29 2 8 2" xfId="11231"/>
    <cellStyle name="Normal 29 2 8 2 2" xfId="11232"/>
    <cellStyle name="Normal 29 2 8 3" xfId="11233"/>
    <cellStyle name="Normal 29 2 9" xfId="11234"/>
    <cellStyle name="Normal 29 2 9 2" xfId="11235"/>
    <cellStyle name="Normal 29 2 9 2 2" xfId="11236"/>
    <cellStyle name="Normal 29 2 9 3" xfId="11237"/>
    <cellStyle name="Normal 29 3" xfId="11238"/>
    <cellStyle name="Normal 29 3 10" xfId="11239"/>
    <cellStyle name="Normal 29 3 10 2" xfId="11240"/>
    <cellStyle name="Normal 29 3 11" xfId="11241"/>
    <cellStyle name="Normal 29 3 2" xfId="11242"/>
    <cellStyle name="Normal 29 3 2 2" xfId="11243"/>
    <cellStyle name="Normal 29 3 2 2 2" xfId="11244"/>
    <cellStyle name="Normal 29 3 2 2 2 2" xfId="11245"/>
    <cellStyle name="Normal 29 3 2 2 2 2 2" xfId="11246"/>
    <cellStyle name="Normal 29 3 2 2 2 3" xfId="11247"/>
    <cellStyle name="Normal 29 3 2 2 3" xfId="11248"/>
    <cellStyle name="Normal 29 3 2 2 3 2" xfId="11249"/>
    <cellStyle name="Normal 29 3 2 2 3 2 2" xfId="11250"/>
    <cellStyle name="Normal 29 3 2 2 3 3" xfId="11251"/>
    <cellStyle name="Normal 29 3 2 2 4" xfId="11252"/>
    <cellStyle name="Normal 29 3 2 2 4 2" xfId="11253"/>
    <cellStyle name="Normal 29 3 2 2 5" xfId="11254"/>
    <cellStyle name="Normal 29 3 2 3" xfId="11255"/>
    <cellStyle name="Normal 29 3 2 3 2" xfId="11256"/>
    <cellStyle name="Normal 29 3 2 3 2 2" xfId="11257"/>
    <cellStyle name="Normal 29 3 2 3 2 2 2" xfId="11258"/>
    <cellStyle name="Normal 29 3 2 3 2 3" xfId="11259"/>
    <cellStyle name="Normal 29 3 2 3 3" xfId="11260"/>
    <cellStyle name="Normal 29 3 2 3 3 2" xfId="11261"/>
    <cellStyle name="Normal 29 3 2 3 3 2 2" xfId="11262"/>
    <cellStyle name="Normal 29 3 2 3 3 3" xfId="11263"/>
    <cellStyle name="Normal 29 3 2 3 4" xfId="11264"/>
    <cellStyle name="Normal 29 3 2 3 4 2" xfId="11265"/>
    <cellStyle name="Normal 29 3 2 3 5" xfId="11266"/>
    <cellStyle name="Normal 29 3 2 4" xfId="11267"/>
    <cellStyle name="Normal 29 3 2 4 2" xfId="11268"/>
    <cellStyle name="Normal 29 3 2 4 2 2" xfId="11269"/>
    <cellStyle name="Normal 29 3 2 4 2 2 2" xfId="11270"/>
    <cellStyle name="Normal 29 3 2 4 2 3" xfId="11271"/>
    <cellStyle name="Normal 29 3 2 4 3" xfId="11272"/>
    <cellStyle name="Normal 29 3 2 4 3 2" xfId="11273"/>
    <cellStyle name="Normal 29 3 2 4 3 2 2" xfId="11274"/>
    <cellStyle name="Normal 29 3 2 4 3 3" xfId="11275"/>
    <cellStyle name="Normal 29 3 2 4 4" xfId="11276"/>
    <cellStyle name="Normal 29 3 2 4 4 2" xfId="11277"/>
    <cellStyle name="Normal 29 3 2 4 5" xfId="11278"/>
    <cellStyle name="Normal 29 3 2 5" xfId="11279"/>
    <cellStyle name="Normal 29 3 2 5 2" xfId="11280"/>
    <cellStyle name="Normal 29 3 2 5 2 2" xfId="11281"/>
    <cellStyle name="Normal 29 3 2 5 3" xfId="11282"/>
    <cellStyle name="Normal 29 3 2 6" xfId="11283"/>
    <cellStyle name="Normal 29 3 2 6 2" xfId="11284"/>
    <cellStyle name="Normal 29 3 2 6 2 2" xfId="11285"/>
    <cellStyle name="Normal 29 3 2 6 3" xfId="11286"/>
    <cellStyle name="Normal 29 3 2 7" xfId="11287"/>
    <cellStyle name="Normal 29 3 2 7 2" xfId="11288"/>
    <cellStyle name="Normal 29 3 2 8" xfId="11289"/>
    <cellStyle name="Normal 29 3 3" xfId="11290"/>
    <cellStyle name="Normal 29 3 3 2" xfId="11291"/>
    <cellStyle name="Normal 29 3 3 2 2" xfId="11292"/>
    <cellStyle name="Normal 29 3 3 2 2 2" xfId="11293"/>
    <cellStyle name="Normal 29 3 3 2 3" xfId="11294"/>
    <cellStyle name="Normal 29 3 3 3" xfId="11295"/>
    <cellStyle name="Normal 29 3 3 3 2" xfId="11296"/>
    <cellStyle name="Normal 29 3 3 3 2 2" xfId="11297"/>
    <cellStyle name="Normal 29 3 3 3 3" xfId="11298"/>
    <cellStyle name="Normal 29 3 3 4" xfId="11299"/>
    <cellStyle name="Normal 29 3 3 4 2" xfId="11300"/>
    <cellStyle name="Normal 29 3 3 5" xfId="11301"/>
    <cellStyle name="Normal 29 3 4" xfId="11302"/>
    <cellStyle name="Normal 29 3 4 2" xfId="11303"/>
    <cellStyle name="Normal 29 3 4 2 2" xfId="11304"/>
    <cellStyle name="Normal 29 3 4 2 2 2" xfId="11305"/>
    <cellStyle name="Normal 29 3 4 2 3" xfId="11306"/>
    <cellStyle name="Normal 29 3 4 3" xfId="11307"/>
    <cellStyle name="Normal 29 3 4 3 2" xfId="11308"/>
    <cellStyle name="Normal 29 3 4 3 2 2" xfId="11309"/>
    <cellStyle name="Normal 29 3 4 3 3" xfId="11310"/>
    <cellStyle name="Normal 29 3 4 4" xfId="11311"/>
    <cellStyle name="Normal 29 3 4 4 2" xfId="11312"/>
    <cellStyle name="Normal 29 3 4 5" xfId="11313"/>
    <cellStyle name="Normal 29 3 5" xfId="11314"/>
    <cellStyle name="Normal 29 3 5 2" xfId="11315"/>
    <cellStyle name="Normal 29 3 5 2 2" xfId="11316"/>
    <cellStyle name="Normal 29 3 5 2 2 2" xfId="11317"/>
    <cellStyle name="Normal 29 3 5 2 3" xfId="11318"/>
    <cellStyle name="Normal 29 3 5 3" xfId="11319"/>
    <cellStyle name="Normal 29 3 5 3 2" xfId="11320"/>
    <cellStyle name="Normal 29 3 5 3 2 2" xfId="11321"/>
    <cellStyle name="Normal 29 3 5 3 3" xfId="11322"/>
    <cellStyle name="Normal 29 3 5 4" xfId="11323"/>
    <cellStyle name="Normal 29 3 5 4 2" xfId="11324"/>
    <cellStyle name="Normal 29 3 5 5" xfId="11325"/>
    <cellStyle name="Normal 29 3 6" xfId="11326"/>
    <cellStyle name="Normal 29 3 6 2" xfId="11327"/>
    <cellStyle name="Normal 29 3 6 2 2" xfId="11328"/>
    <cellStyle name="Normal 29 3 6 3" xfId="11329"/>
    <cellStyle name="Normal 29 3 7" xfId="11330"/>
    <cellStyle name="Normal 29 3 7 2" xfId="11331"/>
    <cellStyle name="Normal 29 3 7 2 2" xfId="11332"/>
    <cellStyle name="Normal 29 3 7 3" xfId="11333"/>
    <cellStyle name="Normal 29 3 8" xfId="11334"/>
    <cellStyle name="Normal 29 3 8 2" xfId="11335"/>
    <cellStyle name="Normal 29 3 8 2 2" xfId="11336"/>
    <cellStyle name="Normal 29 3 8 3" xfId="11337"/>
    <cellStyle name="Normal 29 3 9" xfId="11338"/>
    <cellStyle name="Normal 29 3 9 2" xfId="11339"/>
    <cellStyle name="Normal 29 3 9 2 2" xfId="11340"/>
    <cellStyle name="Normal 29 3 9 3" xfId="11341"/>
    <cellStyle name="Normal 29 4" xfId="11342"/>
    <cellStyle name="Normal 29 4 2" xfId="11343"/>
    <cellStyle name="Normal 29 4 2 2" xfId="11344"/>
    <cellStyle name="Normal 29 4 2 2 2" xfId="11345"/>
    <cellStyle name="Normal 29 4 2 2 2 2" xfId="11346"/>
    <cellStyle name="Normal 29 4 2 2 3" xfId="11347"/>
    <cellStyle name="Normal 29 4 2 3" xfId="11348"/>
    <cellStyle name="Normal 29 4 2 3 2" xfId="11349"/>
    <cellStyle name="Normal 29 4 2 3 2 2" xfId="11350"/>
    <cellStyle name="Normal 29 4 2 3 3" xfId="11351"/>
    <cellStyle name="Normal 29 4 2 4" xfId="11352"/>
    <cellStyle name="Normal 29 4 2 4 2" xfId="11353"/>
    <cellStyle name="Normal 29 4 2 5" xfId="11354"/>
    <cellStyle name="Normal 29 4 3" xfId="11355"/>
    <cellStyle name="Normal 29 4 3 2" xfId="11356"/>
    <cellStyle name="Normal 29 4 3 2 2" xfId="11357"/>
    <cellStyle name="Normal 29 4 3 2 2 2" xfId="11358"/>
    <cellStyle name="Normal 29 4 3 2 3" xfId="11359"/>
    <cellStyle name="Normal 29 4 3 3" xfId="11360"/>
    <cellStyle name="Normal 29 4 3 3 2" xfId="11361"/>
    <cellStyle name="Normal 29 4 3 3 2 2" xfId="11362"/>
    <cellStyle name="Normal 29 4 3 3 3" xfId="11363"/>
    <cellStyle name="Normal 29 4 3 4" xfId="11364"/>
    <cellStyle name="Normal 29 4 3 4 2" xfId="11365"/>
    <cellStyle name="Normal 29 4 3 5" xfId="11366"/>
    <cellStyle name="Normal 29 4 4" xfId="11367"/>
    <cellStyle name="Normal 29 4 4 2" xfId="11368"/>
    <cellStyle name="Normal 29 4 4 2 2" xfId="11369"/>
    <cellStyle name="Normal 29 4 4 2 2 2" xfId="11370"/>
    <cellStyle name="Normal 29 4 4 2 3" xfId="11371"/>
    <cellStyle name="Normal 29 4 4 3" xfId="11372"/>
    <cellStyle name="Normal 29 4 4 3 2" xfId="11373"/>
    <cellStyle name="Normal 29 4 4 3 2 2" xfId="11374"/>
    <cellStyle name="Normal 29 4 4 3 3" xfId="11375"/>
    <cellStyle name="Normal 29 4 4 4" xfId="11376"/>
    <cellStyle name="Normal 29 4 4 4 2" xfId="11377"/>
    <cellStyle name="Normal 29 4 4 5" xfId="11378"/>
    <cellStyle name="Normal 29 4 5" xfId="11379"/>
    <cellStyle name="Normal 29 4 5 2" xfId="11380"/>
    <cellStyle name="Normal 29 4 5 2 2" xfId="11381"/>
    <cellStyle name="Normal 29 4 5 3" xfId="11382"/>
    <cellStyle name="Normal 29 4 6" xfId="11383"/>
    <cellStyle name="Normal 29 4 6 2" xfId="11384"/>
    <cellStyle name="Normal 29 4 6 2 2" xfId="11385"/>
    <cellStyle name="Normal 29 4 6 3" xfId="11386"/>
    <cellStyle name="Normal 29 4 7" xfId="11387"/>
    <cellStyle name="Normal 29 4 7 2" xfId="11388"/>
    <cellStyle name="Normal 29 4 8" xfId="11389"/>
    <cellStyle name="Normal 29 5" xfId="11390"/>
    <cellStyle name="Normal 29 5 2" xfId="11391"/>
    <cellStyle name="Normal 29 5 3" xfId="11392"/>
    <cellStyle name="Normal 29 5 3 2" xfId="11393"/>
    <cellStyle name="Normal 29 5 3 2 2" xfId="11394"/>
    <cellStyle name="Normal 29 5 3 3" xfId="11395"/>
    <cellStyle name="Normal 29 5 4" xfId="11396"/>
    <cellStyle name="Normal 29 5 4 2" xfId="11397"/>
    <cellStyle name="Normal 29 5 4 2 2" xfId="11398"/>
    <cellStyle name="Normal 29 5 4 3" xfId="11399"/>
    <cellStyle name="Normal 29 5 5" xfId="11400"/>
    <cellStyle name="Normal 29 5 5 2" xfId="11401"/>
    <cellStyle name="Normal 29 5 6" xfId="11402"/>
    <cellStyle name="Normal 29 6" xfId="11403"/>
    <cellStyle name="Normal 29 6 2" xfId="11404"/>
    <cellStyle name="Normal 29 6 2 2" xfId="11405"/>
    <cellStyle name="Normal 29 6 2 2 2" xfId="11406"/>
    <cellStyle name="Normal 29 6 2 3" xfId="11407"/>
    <cellStyle name="Normal 29 6 3" xfId="11408"/>
    <cellStyle name="Normal 29 6 3 2" xfId="11409"/>
    <cellStyle name="Normal 29 6 3 2 2" xfId="11410"/>
    <cellStyle name="Normal 29 6 3 3" xfId="11411"/>
    <cellStyle name="Normal 29 6 4" xfId="11412"/>
    <cellStyle name="Normal 29 6 4 2" xfId="11413"/>
    <cellStyle name="Normal 29 6 5" xfId="11414"/>
    <cellStyle name="Normal 29 7" xfId="11415"/>
    <cellStyle name="Normal 29 7 2" xfId="11416"/>
    <cellStyle name="Normal 29 7 2 2" xfId="11417"/>
    <cellStyle name="Normal 29 7 2 2 2" xfId="11418"/>
    <cellStyle name="Normal 29 7 2 3" xfId="11419"/>
    <cellStyle name="Normal 29 7 3" xfId="11420"/>
    <cellStyle name="Normal 29 7 3 2" xfId="11421"/>
    <cellStyle name="Normal 29 7 3 2 2" xfId="11422"/>
    <cellStyle name="Normal 29 7 3 3" xfId="11423"/>
    <cellStyle name="Normal 29 7 4" xfId="11424"/>
    <cellStyle name="Normal 29 7 4 2" xfId="11425"/>
    <cellStyle name="Normal 29 7 5" xfId="11426"/>
    <cellStyle name="Normal 29 8" xfId="11427"/>
    <cellStyle name="Normal 29 9" xfId="11428"/>
    <cellStyle name="Normal 29 9 2" xfId="11429"/>
    <cellStyle name="Normal 29 9 2 2" xfId="11430"/>
    <cellStyle name="Normal 29 9 3" xfId="11431"/>
    <cellStyle name="Normal 290" xfId="18500"/>
    <cellStyle name="Normal 291" xfId="18501"/>
    <cellStyle name="Normal 292" xfId="18502"/>
    <cellStyle name="Normal 293" xfId="18503"/>
    <cellStyle name="Normal 294" xfId="18504"/>
    <cellStyle name="Normal 295" xfId="18505"/>
    <cellStyle name="Normal 296" xfId="18506"/>
    <cellStyle name="Normal 297" xfId="18507"/>
    <cellStyle name="Normal 298" xfId="18508"/>
    <cellStyle name="Normal 299" xfId="18509"/>
    <cellStyle name="Normal 3" xfId="11432"/>
    <cellStyle name="Normal 3 10" xfId="11433"/>
    <cellStyle name="Normal 3 10 2" xfId="11434"/>
    <cellStyle name="Normal 3 11" xfId="11435"/>
    <cellStyle name="Normal 3 12" xfId="11436"/>
    <cellStyle name="Normal 3 13" xfId="11437"/>
    <cellStyle name="Normal 3 14" xfId="11438"/>
    <cellStyle name="Normal 3 15" xfId="11439"/>
    <cellStyle name="Normal 3 16" xfId="11440"/>
    <cellStyle name="Normal 3 17" xfId="11441"/>
    <cellStyle name="Normal 3 18" xfId="11442"/>
    <cellStyle name="Normal 3 19" xfId="11443"/>
    <cellStyle name="Normal 3 2" xfId="11444"/>
    <cellStyle name="Normal 3 2 10" xfId="11445"/>
    <cellStyle name="Normal 3 2 11" xfId="11446"/>
    <cellStyle name="Normal 3 2 12" xfId="11447"/>
    <cellStyle name="Normal 3 2 13" xfId="11448"/>
    <cellStyle name="Normal 3 2 14" xfId="11449"/>
    <cellStyle name="Normal 3 2 15" xfId="11450"/>
    <cellStyle name="Normal 3 2 16" xfId="11451"/>
    <cellStyle name="Normal 3 2 17" xfId="11452"/>
    <cellStyle name="Normal 3 2 18" xfId="11453"/>
    <cellStyle name="Normal 3 2 19" xfId="11454"/>
    <cellStyle name="Normal 3 2 2" xfId="11455"/>
    <cellStyle name="Normal 3 2 2 10" xfId="11456"/>
    <cellStyle name="Normal 3 2 2 11" xfId="11457"/>
    <cellStyle name="Normal 3 2 2 12" xfId="11458"/>
    <cellStyle name="Normal 3 2 2 13" xfId="11459"/>
    <cellStyle name="Normal 3 2 2 14" xfId="11460"/>
    <cellStyle name="Normal 3 2 2 15" xfId="11461"/>
    <cellStyle name="Normal 3 2 2 16" xfId="11462"/>
    <cellStyle name="Normal 3 2 2 17" xfId="11463"/>
    <cellStyle name="Normal 3 2 2 18" xfId="11464"/>
    <cellStyle name="Normal 3 2 2 19" xfId="11465"/>
    <cellStyle name="Normal 3 2 2 2" xfId="11466"/>
    <cellStyle name="Normal 3 2 2 2 10" xfId="11467"/>
    <cellStyle name="Normal 3 2 2 2 11" xfId="11468"/>
    <cellStyle name="Normal 3 2 2 2 12" xfId="11469"/>
    <cellStyle name="Normal 3 2 2 2 13" xfId="11470"/>
    <cellStyle name="Normal 3 2 2 2 14" xfId="11471"/>
    <cellStyle name="Normal 3 2 2 2 15" xfId="11472"/>
    <cellStyle name="Normal 3 2 2 2 16" xfId="11473"/>
    <cellStyle name="Normal 3 2 2 2 17" xfId="11474"/>
    <cellStyle name="Normal 3 2 2 2 18" xfId="11475"/>
    <cellStyle name="Normal 3 2 2 2 19" xfId="11476"/>
    <cellStyle name="Normal 3 2 2 2 2" xfId="11477"/>
    <cellStyle name="Normal 3 2 2 2 2 2" xfId="11478"/>
    <cellStyle name="Normal 3 2 2 2 20" xfId="11479"/>
    <cellStyle name="Normal 3 2 2 2 21" xfId="11480"/>
    <cellStyle name="Normal 3 2 2 2 22" xfId="11481"/>
    <cellStyle name="Normal 3 2 2 2 23" xfId="11482"/>
    <cellStyle name="Normal 3 2 2 2 24" xfId="11483"/>
    <cellStyle name="Normal 3 2 2 2 25" xfId="11484"/>
    <cellStyle name="Normal 3 2 2 2 26" xfId="11485"/>
    <cellStyle name="Normal 3 2 2 2 27" xfId="11486"/>
    <cellStyle name="Normal 3 2 2 2 28" xfId="11487"/>
    <cellStyle name="Normal 3 2 2 2 29" xfId="11488"/>
    <cellStyle name="Normal 3 2 2 2 3" xfId="11489"/>
    <cellStyle name="Normal 3 2 2 2 30" xfId="11490"/>
    <cellStyle name="Normal 3 2 2 2 31" xfId="11491"/>
    <cellStyle name="Normal 3 2 2 2 32" xfId="11492"/>
    <cellStyle name="Normal 3 2 2 2 4" xfId="11493"/>
    <cellStyle name="Normal 3 2 2 2 5" xfId="11494"/>
    <cellStyle name="Normal 3 2 2 2 6" xfId="11495"/>
    <cellStyle name="Normal 3 2 2 2 7" xfId="11496"/>
    <cellStyle name="Normal 3 2 2 2 8" xfId="11497"/>
    <cellStyle name="Normal 3 2 2 2 9" xfId="11498"/>
    <cellStyle name="Normal 3 2 2 20" xfId="11499"/>
    <cellStyle name="Normal 3 2 2 21" xfId="11500"/>
    <cellStyle name="Normal 3 2 2 22" xfId="11501"/>
    <cellStyle name="Normal 3 2 2 23" xfId="11502"/>
    <cellStyle name="Normal 3 2 2 24" xfId="11503"/>
    <cellStyle name="Normal 3 2 2 25" xfId="11504"/>
    <cellStyle name="Normal 3 2 2 26" xfId="11505"/>
    <cellStyle name="Normal 3 2 2 27" xfId="11506"/>
    <cellStyle name="Normal 3 2 2 28" xfId="11507"/>
    <cellStyle name="Normal 3 2 2 29" xfId="11508"/>
    <cellStyle name="Normal 3 2 2 3" xfId="11509"/>
    <cellStyle name="Normal 3 2 2 30" xfId="11510"/>
    <cellStyle name="Normal 3 2 2 31" xfId="11511"/>
    <cellStyle name="Normal 3 2 2 32" xfId="11512"/>
    <cellStyle name="Normal 3 2 2 4" xfId="11513"/>
    <cellStyle name="Normal 3 2 2 5" xfId="11514"/>
    <cellStyle name="Normal 3 2 2 6" xfId="11515"/>
    <cellStyle name="Normal 3 2 2 7" xfId="11516"/>
    <cellStyle name="Normal 3 2 2 8" xfId="11517"/>
    <cellStyle name="Normal 3 2 2 9" xfId="11518"/>
    <cellStyle name="Normal 3 2 20" xfId="11519"/>
    <cellStyle name="Normal 3 2 21" xfId="11520"/>
    <cellStyle name="Normal 3 2 22" xfId="11521"/>
    <cellStyle name="Normal 3 2 23" xfId="11522"/>
    <cellStyle name="Normal 3 2 24" xfId="11523"/>
    <cellStyle name="Normal 3 2 25" xfId="11524"/>
    <cellStyle name="Normal 3 2 26" xfId="11525"/>
    <cellStyle name="Normal 3 2 27" xfId="11526"/>
    <cellStyle name="Normal 3 2 28" xfId="11527"/>
    <cellStyle name="Normal 3 2 29" xfId="11528"/>
    <cellStyle name="Normal 3 2 3" xfId="11529"/>
    <cellStyle name="Normal 3 2 3 2" xfId="11530"/>
    <cellStyle name="Normal 3 2 30" xfId="11531"/>
    <cellStyle name="Normal 3 2 31" xfId="11532"/>
    <cellStyle name="Normal 3 2 32" xfId="11533"/>
    <cellStyle name="Normal 3 2 33" xfId="11534"/>
    <cellStyle name="Normal 3 2 34" xfId="11535"/>
    <cellStyle name="Normal 3 2 35" xfId="11536"/>
    <cellStyle name="Normal 3 2 36" xfId="11537"/>
    <cellStyle name="Normal 3 2 4" xfId="11538"/>
    <cellStyle name="Normal 3 2 4 2" xfId="11539"/>
    <cellStyle name="Normal 3 2 5" xfId="11540"/>
    <cellStyle name="Normal 3 2 5 2" xfId="11541"/>
    <cellStyle name="Normal 3 2 6" xfId="11542"/>
    <cellStyle name="Normal 3 2 6 2" xfId="11543"/>
    <cellStyle name="Normal 3 2 7" xfId="11544"/>
    <cellStyle name="Normal 3 2 8" xfId="11545"/>
    <cellStyle name="Normal 3 2 9" xfId="11546"/>
    <cellStyle name="Normal 3 20" xfId="11547"/>
    <cellStyle name="Normal 3 21" xfId="11548"/>
    <cellStyle name="Normal 3 22" xfId="11549"/>
    <cellStyle name="Normal 3 23" xfId="11550"/>
    <cellStyle name="Normal 3 24" xfId="11551"/>
    <cellStyle name="Normal 3 25" xfId="11552"/>
    <cellStyle name="Normal 3 26" xfId="11553"/>
    <cellStyle name="Normal 3 27" xfId="11554"/>
    <cellStyle name="Normal 3 28" xfId="11555"/>
    <cellStyle name="Normal 3 29" xfId="11556"/>
    <cellStyle name="Normal 3 3" xfId="11557"/>
    <cellStyle name="Normal 3 3 2" xfId="11558"/>
    <cellStyle name="Normal 3 3 2 2" xfId="11559"/>
    <cellStyle name="Normal 3 3 3" xfId="11560"/>
    <cellStyle name="Normal 3 30" xfId="11561"/>
    <cellStyle name="Normal 3 31" xfId="11562"/>
    <cellStyle name="Normal 3 32" xfId="11563"/>
    <cellStyle name="Normal 3 33" xfId="11564"/>
    <cellStyle name="Normal 3 34" xfId="11565"/>
    <cellStyle name="Normal 3 35" xfId="11566"/>
    <cellStyle name="Normal 3 36" xfId="11567"/>
    <cellStyle name="Normal 3 37" xfId="11568"/>
    <cellStyle name="Normal 3 38" xfId="11569"/>
    <cellStyle name="Normal 3 39" xfId="11570"/>
    <cellStyle name="Normal 3 4" xfId="11571"/>
    <cellStyle name="Normal 3 4 2" xfId="11572"/>
    <cellStyle name="Normal 3 40" xfId="11573"/>
    <cellStyle name="Normal 3 41" xfId="11574"/>
    <cellStyle name="Normal 3 42" xfId="11575"/>
    <cellStyle name="Normal 3 43" xfId="11576"/>
    <cellStyle name="Normal 3 44" xfId="11577"/>
    <cellStyle name="Normal 3 45" xfId="11578"/>
    <cellStyle name="Normal 3 45 10" xfId="11579"/>
    <cellStyle name="Normal 3 45 11" xfId="11580"/>
    <cellStyle name="Normal 3 45 12" xfId="11581"/>
    <cellStyle name="Normal 3 45 13" xfId="11582"/>
    <cellStyle name="Normal 3 45 14" xfId="11583"/>
    <cellStyle name="Normal 3 45 15" xfId="11584"/>
    <cellStyle name="Normal 3 45 16" xfId="11585"/>
    <cellStyle name="Normal 3 45 17" xfId="11586"/>
    <cellStyle name="Normal 3 45 18" xfId="11587"/>
    <cellStyle name="Normal 3 45 19" xfId="11588"/>
    <cellStyle name="Normal 3 45 2" xfId="11589"/>
    <cellStyle name="Normal 3 45 2 10" xfId="11590"/>
    <cellStyle name="Normal 3 45 2 11" xfId="11591"/>
    <cellStyle name="Normal 3 45 2 12" xfId="11592"/>
    <cellStyle name="Normal 3 45 2 13" xfId="11593"/>
    <cellStyle name="Normal 3 45 2 14" xfId="11594"/>
    <cellStyle name="Normal 3 45 2 15" xfId="11595"/>
    <cellStyle name="Normal 3 45 2 16" xfId="11596"/>
    <cellStyle name="Normal 3 45 2 17" xfId="11597"/>
    <cellStyle name="Normal 3 45 2 18" xfId="11598"/>
    <cellStyle name="Normal 3 45 2 19" xfId="11599"/>
    <cellStyle name="Normal 3 45 2 2" xfId="11600"/>
    <cellStyle name="Normal 3 45 2 20" xfId="11601"/>
    <cellStyle name="Normal 3 45 2 21" xfId="11602"/>
    <cellStyle name="Normal 3 45 2 22" xfId="11603"/>
    <cellStyle name="Normal 3 45 2 23" xfId="11604"/>
    <cellStyle name="Normal 3 45 2 3" xfId="11605"/>
    <cellStyle name="Normal 3 45 2 4" xfId="11606"/>
    <cellStyle name="Normal 3 45 2 5" xfId="11607"/>
    <cellStyle name="Normal 3 45 2 6" xfId="11608"/>
    <cellStyle name="Normal 3 45 2 7" xfId="11609"/>
    <cellStyle name="Normal 3 45 2 8" xfId="11610"/>
    <cellStyle name="Normal 3 45 2 9" xfId="11611"/>
    <cellStyle name="Normal 3 45 20" xfId="11612"/>
    <cellStyle name="Normal 3 45 21" xfId="11613"/>
    <cellStyle name="Normal 3 45 22" xfId="11614"/>
    <cellStyle name="Normal 3 45 3" xfId="11615"/>
    <cellStyle name="Normal 3 45 4" xfId="11616"/>
    <cellStyle name="Normal 3 45 5" xfId="11617"/>
    <cellStyle name="Normal 3 45 6" xfId="11618"/>
    <cellStyle name="Normal 3 45 7" xfId="11619"/>
    <cellStyle name="Normal 3 45 8" xfId="11620"/>
    <cellStyle name="Normal 3 45 9" xfId="11621"/>
    <cellStyle name="Normal 3 46" xfId="11622"/>
    <cellStyle name="Normal 3 47" xfId="11623"/>
    <cellStyle name="Normal 3 48" xfId="11624"/>
    <cellStyle name="Normal 3 49" xfId="11625"/>
    <cellStyle name="Normal 3 5" xfId="11626"/>
    <cellStyle name="Normal 3 5 2" xfId="11627"/>
    <cellStyle name="Normal 3 50" xfId="11628"/>
    <cellStyle name="Normal 3 51" xfId="11629"/>
    <cellStyle name="Normal 3 51 10" xfId="11630"/>
    <cellStyle name="Normal 3 51 11" xfId="11631"/>
    <cellStyle name="Normal 3 51 12" xfId="11632"/>
    <cellStyle name="Normal 3 51 13" xfId="11633"/>
    <cellStyle name="Normal 3 51 14" xfId="11634"/>
    <cellStyle name="Normal 3 51 15" xfId="11635"/>
    <cellStyle name="Normal 3 51 16" xfId="11636"/>
    <cellStyle name="Normal 3 51 17" xfId="11637"/>
    <cellStyle name="Normal 3 51 18" xfId="11638"/>
    <cellStyle name="Normal 3 51 19" xfId="11639"/>
    <cellStyle name="Normal 3 51 2" xfId="11640"/>
    <cellStyle name="Normal 3 51 20" xfId="11641"/>
    <cellStyle name="Normal 3 51 21" xfId="11642"/>
    <cellStyle name="Normal 3 51 22" xfId="11643"/>
    <cellStyle name="Normal 3 51 23" xfId="11644"/>
    <cellStyle name="Normal 3 51 3" xfId="11645"/>
    <cellStyle name="Normal 3 51 4" xfId="11646"/>
    <cellStyle name="Normal 3 51 5" xfId="11647"/>
    <cellStyle name="Normal 3 51 6" xfId="11648"/>
    <cellStyle name="Normal 3 51 7" xfId="11649"/>
    <cellStyle name="Normal 3 51 8" xfId="11650"/>
    <cellStyle name="Normal 3 51 9" xfId="11651"/>
    <cellStyle name="Normal 3 52" xfId="11652"/>
    <cellStyle name="Normal 3 52 2" xfId="11653"/>
    <cellStyle name="Normal 3 53" xfId="11654"/>
    <cellStyle name="Normal 3 54" xfId="11655"/>
    <cellStyle name="Normal 3 55" xfId="11656"/>
    <cellStyle name="Normal 3 56" xfId="11657"/>
    <cellStyle name="Normal 3 57" xfId="11658"/>
    <cellStyle name="Normal 3 58" xfId="11659"/>
    <cellStyle name="Normal 3 59" xfId="11660"/>
    <cellStyle name="Normal 3 6" xfId="11661"/>
    <cellStyle name="Normal 3 6 2" xfId="11662"/>
    <cellStyle name="Normal 3 60" xfId="11663"/>
    <cellStyle name="Normal 3 61" xfId="11664"/>
    <cellStyle name="Normal 3 62" xfId="11665"/>
    <cellStyle name="Normal 3 63" xfId="11666"/>
    <cellStyle name="Normal 3 64" xfId="11667"/>
    <cellStyle name="Normal 3 65" xfId="11668"/>
    <cellStyle name="Normal 3 66" xfId="11669"/>
    <cellStyle name="Normal 3 67" xfId="11670"/>
    <cellStyle name="Normal 3 68" xfId="11671"/>
    <cellStyle name="Normal 3 69" xfId="11672"/>
    <cellStyle name="Normal 3 7" xfId="11673"/>
    <cellStyle name="Normal 3 7 2" xfId="11674"/>
    <cellStyle name="Normal 3 70" xfId="11675"/>
    <cellStyle name="Normal 3 70 2" xfId="11676"/>
    <cellStyle name="Normal 3 71" xfId="11677"/>
    <cellStyle name="Normal 3 72" xfId="11678"/>
    <cellStyle name="Normal 3 73" xfId="11679"/>
    <cellStyle name="Normal 3 74" xfId="11680"/>
    <cellStyle name="Normal 3 75" xfId="18661"/>
    <cellStyle name="Normal 3 8" xfId="11681"/>
    <cellStyle name="Normal 3 8 2" xfId="11682"/>
    <cellStyle name="Normal 3 9" xfId="11683"/>
    <cellStyle name="Normal 3 9 2" xfId="11684"/>
    <cellStyle name="Normal 3 9 2 2" xfId="11685"/>
    <cellStyle name="Normal 3 9 2 2 2" xfId="11686"/>
    <cellStyle name="Normal 3 9 2 2 2 2" xfId="11687"/>
    <cellStyle name="Normal 3 9 2 2 3" xfId="11688"/>
    <cellStyle name="Normal 3 9 2 3" xfId="11689"/>
    <cellStyle name="Normal 3 9 2 3 2" xfId="11690"/>
    <cellStyle name="Normal 3 9 2 4" xfId="11691"/>
    <cellStyle name="Normal 3 9 3" xfId="11692"/>
    <cellStyle name="Normal 30" xfId="11693"/>
    <cellStyle name="Normal 30 10" xfId="11694"/>
    <cellStyle name="Normal 30 10 2" xfId="11695"/>
    <cellStyle name="Normal 30 10 2 2" xfId="11696"/>
    <cellStyle name="Normal 30 10 3" xfId="11697"/>
    <cellStyle name="Normal 30 11" xfId="11698"/>
    <cellStyle name="Normal 30 11 2" xfId="11699"/>
    <cellStyle name="Normal 30 12" xfId="11700"/>
    <cellStyle name="Normal 30 2" xfId="11701"/>
    <cellStyle name="Normal 30 2 10" xfId="11702"/>
    <cellStyle name="Normal 30 2 10 2" xfId="11703"/>
    <cellStyle name="Normal 30 2 11" xfId="11704"/>
    <cellStyle name="Normal 30 2 2" xfId="11705"/>
    <cellStyle name="Normal 30 2 2 2" xfId="11706"/>
    <cellStyle name="Normal 30 2 2 2 2" xfId="11707"/>
    <cellStyle name="Normal 30 2 2 2 2 2" xfId="11708"/>
    <cellStyle name="Normal 30 2 2 2 2 2 2" xfId="11709"/>
    <cellStyle name="Normal 30 2 2 2 2 3" xfId="11710"/>
    <cellStyle name="Normal 30 2 2 2 3" xfId="11711"/>
    <cellStyle name="Normal 30 2 2 2 3 2" xfId="11712"/>
    <cellStyle name="Normal 30 2 2 2 3 2 2" xfId="11713"/>
    <cellStyle name="Normal 30 2 2 2 3 3" xfId="11714"/>
    <cellStyle name="Normal 30 2 2 2 4" xfId="11715"/>
    <cellStyle name="Normal 30 2 2 2 4 2" xfId="11716"/>
    <cellStyle name="Normal 30 2 2 2 5" xfId="11717"/>
    <cellStyle name="Normal 30 2 2 3" xfId="11718"/>
    <cellStyle name="Normal 30 2 2 3 2" xfId="11719"/>
    <cellStyle name="Normal 30 2 2 3 2 2" xfId="11720"/>
    <cellStyle name="Normal 30 2 2 3 2 2 2" xfId="11721"/>
    <cellStyle name="Normal 30 2 2 3 2 3" xfId="11722"/>
    <cellStyle name="Normal 30 2 2 3 3" xfId="11723"/>
    <cellStyle name="Normal 30 2 2 3 3 2" xfId="11724"/>
    <cellStyle name="Normal 30 2 2 3 3 2 2" xfId="11725"/>
    <cellStyle name="Normal 30 2 2 3 3 3" xfId="11726"/>
    <cellStyle name="Normal 30 2 2 3 4" xfId="11727"/>
    <cellStyle name="Normal 30 2 2 3 4 2" xfId="11728"/>
    <cellStyle name="Normal 30 2 2 3 5" xfId="11729"/>
    <cellStyle name="Normal 30 2 2 4" xfId="11730"/>
    <cellStyle name="Normal 30 2 2 4 2" xfId="11731"/>
    <cellStyle name="Normal 30 2 2 4 2 2" xfId="11732"/>
    <cellStyle name="Normal 30 2 2 4 2 2 2" xfId="11733"/>
    <cellStyle name="Normal 30 2 2 4 2 3" xfId="11734"/>
    <cellStyle name="Normal 30 2 2 4 3" xfId="11735"/>
    <cellStyle name="Normal 30 2 2 4 3 2" xfId="11736"/>
    <cellStyle name="Normal 30 2 2 4 3 2 2" xfId="11737"/>
    <cellStyle name="Normal 30 2 2 4 3 3" xfId="11738"/>
    <cellStyle name="Normal 30 2 2 4 4" xfId="11739"/>
    <cellStyle name="Normal 30 2 2 4 4 2" xfId="11740"/>
    <cellStyle name="Normal 30 2 2 4 5" xfId="11741"/>
    <cellStyle name="Normal 30 2 2 5" xfId="11742"/>
    <cellStyle name="Normal 30 2 2 5 2" xfId="11743"/>
    <cellStyle name="Normal 30 2 2 5 2 2" xfId="11744"/>
    <cellStyle name="Normal 30 2 2 5 3" xfId="11745"/>
    <cellStyle name="Normal 30 2 2 6" xfId="11746"/>
    <cellStyle name="Normal 30 2 2 6 2" xfId="11747"/>
    <cellStyle name="Normal 30 2 2 6 2 2" xfId="11748"/>
    <cellStyle name="Normal 30 2 2 6 3" xfId="11749"/>
    <cellStyle name="Normal 30 2 2 7" xfId="11750"/>
    <cellStyle name="Normal 30 2 2 7 2" xfId="11751"/>
    <cellStyle name="Normal 30 2 2 8" xfId="11752"/>
    <cellStyle name="Normal 30 2 3" xfId="11753"/>
    <cellStyle name="Normal 30 2 3 2" xfId="11754"/>
    <cellStyle name="Normal 30 2 3 2 2" xfId="11755"/>
    <cellStyle name="Normal 30 2 3 2 2 2" xfId="11756"/>
    <cellStyle name="Normal 30 2 3 2 3" xfId="11757"/>
    <cellStyle name="Normal 30 2 3 3" xfId="11758"/>
    <cellStyle name="Normal 30 2 3 3 2" xfId="11759"/>
    <cellStyle name="Normal 30 2 3 3 2 2" xfId="11760"/>
    <cellStyle name="Normal 30 2 3 3 3" xfId="11761"/>
    <cellStyle name="Normal 30 2 3 4" xfId="11762"/>
    <cellStyle name="Normal 30 2 3 4 2" xfId="11763"/>
    <cellStyle name="Normal 30 2 3 5" xfId="11764"/>
    <cellStyle name="Normal 30 2 4" xfId="11765"/>
    <cellStyle name="Normal 30 2 4 2" xfId="11766"/>
    <cellStyle name="Normal 30 2 4 2 2" xfId="11767"/>
    <cellStyle name="Normal 30 2 4 2 2 2" xfId="11768"/>
    <cellStyle name="Normal 30 2 4 2 3" xfId="11769"/>
    <cellStyle name="Normal 30 2 4 3" xfId="11770"/>
    <cellStyle name="Normal 30 2 4 3 2" xfId="11771"/>
    <cellStyle name="Normal 30 2 4 3 2 2" xfId="11772"/>
    <cellStyle name="Normal 30 2 4 3 3" xfId="11773"/>
    <cellStyle name="Normal 30 2 4 4" xfId="11774"/>
    <cellStyle name="Normal 30 2 4 4 2" xfId="11775"/>
    <cellStyle name="Normal 30 2 4 5" xfId="11776"/>
    <cellStyle name="Normal 30 2 5" xfId="11777"/>
    <cellStyle name="Normal 30 2 5 2" xfId="11778"/>
    <cellStyle name="Normal 30 2 5 2 2" xfId="11779"/>
    <cellStyle name="Normal 30 2 5 2 2 2" xfId="11780"/>
    <cellStyle name="Normal 30 2 5 2 3" xfId="11781"/>
    <cellStyle name="Normal 30 2 5 3" xfId="11782"/>
    <cellStyle name="Normal 30 2 5 3 2" xfId="11783"/>
    <cellStyle name="Normal 30 2 5 3 2 2" xfId="11784"/>
    <cellStyle name="Normal 30 2 5 3 3" xfId="11785"/>
    <cellStyle name="Normal 30 2 5 4" xfId="11786"/>
    <cellStyle name="Normal 30 2 5 4 2" xfId="11787"/>
    <cellStyle name="Normal 30 2 5 5" xfId="11788"/>
    <cellStyle name="Normal 30 2 6" xfId="11789"/>
    <cellStyle name="Normal 30 2 6 2" xfId="11790"/>
    <cellStyle name="Normal 30 2 6 2 2" xfId="11791"/>
    <cellStyle name="Normal 30 2 6 3" xfId="11792"/>
    <cellStyle name="Normal 30 2 7" xfId="11793"/>
    <cellStyle name="Normal 30 2 7 2" xfId="11794"/>
    <cellStyle name="Normal 30 2 7 2 2" xfId="11795"/>
    <cellStyle name="Normal 30 2 7 3" xfId="11796"/>
    <cellStyle name="Normal 30 2 8" xfId="11797"/>
    <cellStyle name="Normal 30 2 8 2" xfId="11798"/>
    <cellStyle name="Normal 30 2 8 2 2" xfId="11799"/>
    <cellStyle name="Normal 30 2 8 3" xfId="11800"/>
    <cellStyle name="Normal 30 2 9" xfId="11801"/>
    <cellStyle name="Normal 30 2 9 2" xfId="11802"/>
    <cellStyle name="Normal 30 2 9 2 2" xfId="11803"/>
    <cellStyle name="Normal 30 2 9 3" xfId="11804"/>
    <cellStyle name="Normal 30 3" xfId="11805"/>
    <cellStyle name="Normal 30 3 10" xfId="11806"/>
    <cellStyle name="Normal 30 3 10 2" xfId="11807"/>
    <cellStyle name="Normal 30 3 11" xfId="11808"/>
    <cellStyle name="Normal 30 3 2" xfId="11809"/>
    <cellStyle name="Normal 30 3 2 2" xfId="11810"/>
    <cellStyle name="Normal 30 3 2 2 2" xfId="11811"/>
    <cellStyle name="Normal 30 3 2 2 2 2" xfId="11812"/>
    <cellStyle name="Normal 30 3 2 2 2 2 2" xfId="11813"/>
    <cellStyle name="Normal 30 3 2 2 2 3" xfId="11814"/>
    <cellStyle name="Normal 30 3 2 2 3" xfId="11815"/>
    <cellStyle name="Normal 30 3 2 2 3 2" xfId="11816"/>
    <cellStyle name="Normal 30 3 2 2 3 2 2" xfId="11817"/>
    <cellStyle name="Normal 30 3 2 2 3 3" xfId="11818"/>
    <cellStyle name="Normal 30 3 2 2 4" xfId="11819"/>
    <cellStyle name="Normal 30 3 2 2 4 2" xfId="11820"/>
    <cellStyle name="Normal 30 3 2 2 5" xfId="11821"/>
    <cellStyle name="Normal 30 3 2 3" xfId="11822"/>
    <cellStyle name="Normal 30 3 2 3 2" xfId="11823"/>
    <cellStyle name="Normal 30 3 2 3 2 2" xfId="11824"/>
    <cellStyle name="Normal 30 3 2 3 2 2 2" xfId="11825"/>
    <cellStyle name="Normal 30 3 2 3 2 3" xfId="11826"/>
    <cellStyle name="Normal 30 3 2 3 3" xfId="11827"/>
    <cellStyle name="Normal 30 3 2 3 3 2" xfId="11828"/>
    <cellStyle name="Normal 30 3 2 3 3 2 2" xfId="11829"/>
    <cellStyle name="Normal 30 3 2 3 3 3" xfId="11830"/>
    <cellStyle name="Normal 30 3 2 3 4" xfId="11831"/>
    <cellStyle name="Normal 30 3 2 3 4 2" xfId="11832"/>
    <cellStyle name="Normal 30 3 2 3 5" xfId="11833"/>
    <cellStyle name="Normal 30 3 2 4" xfId="11834"/>
    <cellStyle name="Normal 30 3 2 4 2" xfId="11835"/>
    <cellStyle name="Normal 30 3 2 4 2 2" xfId="11836"/>
    <cellStyle name="Normal 30 3 2 4 2 2 2" xfId="11837"/>
    <cellStyle name="Normal 30 3 2 4 2 3" xfId="11838"/>
    <cellStyle name="Normal 30 3 2 4 3" xfId="11839"/>
    <cellStyle name="Normal 30 3 2 4 3 2" xfId="11840"/>
    <cellStyle name="Normal 30 3 2 4 3 2 2" xfId="11841"/>
    <cellStyle name="Normal 30 3 2 4 3 3" xfId="11842"/>
    <cellStyle name="Normal 30 3 2 4 4" xfId="11843"/>
    <cellStyle name="Normal 30 3 2 4 4 2" xfId="11844"/>
    <cellStyle name="Normal 30 3 2 4 5" xfId="11845"/>
    <cellStyle name="Normal 30 3 2 5" xfId="11846"/>
    <cellStyle name="Normal 30 3 2 5 2" xfId="11847"/>
    <cellStyle name="Normal 30 3 2 5 2 2" xfId="11848"/>
    <cellStyle name="Normal 30 3 2 5 3" xfId="11849"/>
    <cellStyle name="Normal 30 3 2 6" xfId="11850"/>
    <cellStyle name="Normal 30 3 2 6 2" xfId="11851"/>
    <cellStyle name="Normal 30 3 2 6 2 2" xfId="11852"/>
    <cellStyle name="Normal 30 3 2 6 3" xfId="11853"/>
    <cellStyle name="Normal 30 3 2 7" xfId="11854"/>
    <cellStyle name="Normal 30 3 2 7 2" xfId="11855"/>
    <cellStyle name="Normal 30 3 2 8" xfId="11856"/>
    <cellStyle name="Normal 30 3 3" xfId="11857"/>
    <cellStyle name="Normal 30 3 3 2" xfId="11858"/>
    <cellStyle name="Normal 30 3 3 2 2" xfId="11859"/>
    <cellStyle name="Normal 30 3 3 2 2 2" xfId="11860"/>
    <cellStyle name="Normal 30 3 3 2 3" xfId="11861"/>
    <cellStyle name="Normal 30 3 3 3" xfId="11862"/>
    <cellStyle name="Normal 30 3 3 3 2" xfId="11863"/>
    <cellStyle name="Normal 30 3 3 3 2 2" xfId="11864"/>
    <cellStyle name="Normal 30 3 3 3 3" xfId="11865"/>
    <cellStyle name="Normal 30 3 3 4" xfId="11866"/>
    <cellStyle name="Normal 30 3 3 4 2" xfId="11867"/>
    <cellStyle name="Normal 30 3 3 5" xfId="11868"/>
    <cellStyle name="Normal 30 3 4" xfId="11869"/>
    <cellStyle name="Normal 30 3 4 2" xfId="11870"/>
    <cellStyle name="Normal 30 3 4 2 2" xfId="11871"/>
    <cellStyle name="Normal 30 3 4 2 2 2" xfId="11872"/>
    <cellStyle name="Normal 30 3 4 2 3" xfId="11873"/>
    <cellStyle name="Normal 30 3 4 3" xfId="11874"/>
    <cellStyle name="Normal 30 3 4 3 2" xfId="11875"/>
    <cellStyle name="Normal 30 3 4 3 2 2" xfId="11876"/>
    <cellStyle name="Normal 30 3 4 3 3" xfId="11877"/>
    <cellStyle name="Normal 30 3 4 4" xfId="11878"/>
    <cellStyle name="Normal 30 3 4 4 2" xfId="11879"/>
    <cellStyle name="Normal 30 3 4 5" xfId="11880"/>
    <cellStyle name="Normal 30 3 5" xfId="11881"/>
    <cellStyle name="Normal 30 3 5 2" xfId="11882"/>
    <cellStyle name="Normal 30 3 5 2 2" xfId="11883"/>
    <cellStyle name="Normal 30 3 5 2 2 2" xfId="11884"/>
    <cellStyle name="Normal 30 3 5 2 3" xfId="11885"/>
    <cellStyle name="Normal 30 3 5 3" xfId="11886"/>
    <cellStyle name="Normal 30 3 5 3 2" xfId="11887"/>
    <cellStyle name="Normal 30 3 5 3 2 2" xfId="11888"/>
    <cellStyle name="Normal 30 3 5 3 3" xfId="11889"/>
    <cellStyle name="Normal 30 3 5 4" xfId="11890"/>
    <cellStyle name="Normal 30 3 5 4 2" xfId="11891"/>
    <cellStyle name="Normal 30 3 5 5" xfId="11892"/>
    <cellStyle name="Normal 30 3 6" xfId="11893"/>
    <cellStyle name="Normal 30 3 6 2" xfId="11894"/>
    <cellStyle name="Normal 30 3 6 2 2" xfId="11895"/>
    <cellStyle name="Normal 30 3 6 3" xfId="11896"/>
    <cellStyle name="Normal 30 3 7" xfId="11897"/>
    <cellStyle name="Normal 30 3 7 2" xfId="11898"/>
    <cellStyle name="Normal 30 3 7 2 2" xfId="11899"/>
    <cellStyle name="Normal 30 3 7 3" xfId="11900"/>
    <cellStyle name="Normal 30 3 8" xfId="11901"/>
    <cellStyle name="Normal 30 3 8 2" xfId="11902"/>
    <cellStyle name="Normal 30 3 8 2 2" xfId="11903"/>
    <cellStyle name="Normal 30 3 8 3" xfId="11904"/>
    <cellStyle name="Normal 30 3 9" xfId="11905"/>
    <cellStyle name="Normal 30 3 9 2" xfId="11906"/>
    <cellStyle name="Normal 30 3 9 2 2" xfId="11907"/>
    <cellStyle name="Normal 30 3 9 3" xfId="11908"/>
    <cellStyle name="Normal 30 4" xfId="11909"/>
    <cellStyle name="Normal 30 4 2" xfId="11910"/>
    <cellStyle name="Normal 30 4 2 2" xfId="11911"/>
    <cellStyle name="Normal 30 4 2 2 2" xfId="11912"/>
    <cellStyle name="Normal 30 4 2 2 2 2" xfId="11913"/>
    <cellStyle name="Normal 30 4 2 2 3" xfId="11914"/>
    <cellStyle name="Normal 30 4 2 3" xfId="11915"/>
    <cellStyle name="Normal 30 4 2 3 2" xfId="11916"/>
    <cellStyle name="Normal 30 4 2 3 2 2" xfId="11917"/>
    <cellStyle name="Normal 30 4 2 3 3" xfId="11918"/>
    <cellStyle name="Normal 30 4 2 4" xfId="11919"/>
    <cellStyle name="Normal 30 4 2 4 2" xfId="11920"/>
    <cellStyle name="Normal 30 4 2 5" xfId="11921"/>
    <cellStyle name="Normal 30 4 3" xfId="11922"/>
    <cellStyle name="Normal 30 4 3 2" xfId="11923"/>
    <cellStyle name="Normal 30 4 3 2 2" xfId="11924"/>
    <cellStyle name="Normal 30 4 3 2 2 2" xfId="11925"/>
    <cellStyle name="Normal 30 4 3 2 3" xfId="11926"/>
    <cellStyle name="Normal 30 4 3 3" xfId="11927"/>
    <cellStyle name="Normal 30 4 3 3 2" xfId="11928"/>
    <cellStyle name="Normal 30 4 3 3 2 2" xfId="11929"/>
    <cellStyle name="Normal 30 4 3 3 3" xfId="11930"/>
    <cellStyle name="Normal 30 4 3 4" xfId="11931"/>
    <cellStyle name="Normal 30 4 3 4 2" xfId="11932"/>
    <cellStyle name="Normal 30 4 3 5" xfId="11933"/>
    <cellStyle name="Normal 30 4 4" xfId="11934"/>
    <cellStyle name="Normal 30 4 4 2" xfId="11935"/>
    <cellStyle name="Normal 30 4 4 2 2" xfId="11936"/>
    <cellStyle name="Normal 30 4 4 2 2 2" xfId="11937"/>
    <cellStyle name="Normal 30 4 4 2 3" xfId="11938"/>
    <cellStyle name="Normal 30 4 4 3" xfId="11939"/>
    <cellStyle name="Normal 30 4 4 3 2" xfId="11940"/>
    <cellStyle name="Normal 30 4 4 3 2 2" xfId="11941"/>
    <cellStyle name="Normal 30 4 4 3 3" xfId="11942"/>
    <cellStyle name="Normal 30 4 4 4" xfId="11943"/>
    <cellStyle name="Normal 30 4 4 4 2" xfId="11944"/>
    <cellStyle name="Normal 30 4 4 5" xfId="11945"/>
    <cellStyle name="Normal 30 4 5" xfId="11946"/>
    <cellStyle name="Normal 30 4 5 2" xfId="11947"/>
    <cellStyle name="Normal 30 4 5 2 2" xfId="11948"/>
    <cellStyle name="Normal 30 4 5 3" xfId="11949"/>
    <cellStyle name="Normal 30 4 6" xfId="11950"/>
    <cellStyle name="Normal 30 4 6 2" xfId="11951"/>
    <cellStyle name="Normal 30 4 6 2 2" xfId="11952"/>
    <cellStyle name="Normal 30 4 6 3" xfId="11953"/>
    <cellStyle name="Normal 30 4 7" xfId="11954"/>
    <cellStyle name="Normal 30 4 7 2" xfId="11955"/>
    <cellStyle name="Normal 30 4 8" xfId="11956"/>
    <cellStyle name="Normal 30 5" xfId="11957"/>
    <cellStyle name="Normal 30 5 2" xfId="11958"/>
    <cellStyle name="Normal 30 5 3" xfId="11959"/>
    <cellStyle name="Normal 30 5 3 2" xfId="11960"/>
    <cellStyle name="Normal 30 5 3 2 2" xfId="11961"/>
    <cellStyle name="Normal 30 5 3 3" xfId="11962"/>
    <cellStyle name="Normal 30 5 4" xfId="11963"/>
    <cellStyle name="Normal 30 5 4 2" xfId="11964"/>
    <cellStyle name="Normal 30 5 4 2 2" xfId="11965"/>
    <cellStyle name="Normal 30 5 4 3" xfId="11966"/>
    <cellStyle name="Normal 30 5 5" xfId="11967"/>
    <cellStyle name="Normal 30 5 5 2" xfId="11968"/>
    <cellStyle name="Normal 30 5 6" xfId="11969"/>
    <cellStyle name="Normal 30 6" xfId="11970"/>
    <cellStyle name="Normal 30 6 2" xfId="11971"/>
    <cellStyle name="Normal 30 6 2 2" xfId="11972"/>
    <cellStyle name="Normal 30 6 2 2 2" xfId="11973"/>
    <cellStyle name="Normal 30 6 2 3" xfId="11974"/>
    <cellStyle name="Normal 30 6 3" xfId="11975"/>
    <cellStyle name="Normal 30 6 3 2" xfId="11976"/>
    <cellStyle name="Normal 30 6 3 2 2" xfId="11977"/>
    <cellStyle name="Normal 30 6 3 3" xfId="11978"/>
    <cellStyle name="Normal 30 6 4" xfId="11979"/>
    <cellStyle name="Normal 30 6 4 2" xfId="11980"/>
    <cellStyle name="Normal 30 6 5" xfId="11981"/>
    <cellStyle name="Normal 30 7" xfId="11982"/>
    <cellStyle name="Normal 30 7 2" xfId="11983"/>
    <cellStyle name="Normal 30 7 2 2" xfId="11984"/>
    <cellStyle name="Normal 30 7 2 2 2" xfId="11985"/>
    <cellStyle name="Normal 30 7 2 3" xfId="11986"/>
    <cellStyle name="Normal 30 7 3" xfId="11987"/>
    <cellStyle name="Normal 30 7 3 2" xfId="11988"/>
    <cellStyle name="Normal 30 7 3 2 2" xfId="11989"/>
    <cellStyle name="Normal 30 7 3 3" xfId="11990"/>
    <cellStyle name="Normal 30 7 4" xfId="11991"/>
    <cellStyle name="Normal 30 7 4 2" xfId="11992"/>
    <cellStyle name="Normal 30 7 5" xfId="11993"/>
    <cellStyle name="Normal 30 8" xfId="11994"/>
    <cellStyle name="Normal 30 9" xfId="11995"/>
    <cellStyle name="Normal 30 9 2" xfId="11996"/>
    <cellStyle name="Normal 30 9 2 2" xfId="11997"/>
    <cellStyle name="Normal 30 9 3" xfId="11998"/>
    <cellStyle name="Normal 300" xfId="18510"/>
    <cellStyle name="Normal 301" xfId="18511"/>
    <cellStyle name="Normal 302" xfId="18512"/>
    <cellStyle name="Normal 303" xfId="18513"/>
    <cellStyle name="Normal 304" xfId="18514"/>
    <cellStyle name="Normal 305" xfId="18515"/>
    <cellStyle name="Normal 306" xfId="18516"/>
    <cellStyle name="Normal 307" xfId="18517"/>
    <cellStyle name="Normal 308" xfId="18518"/>
    <cellStyle name="Normal 309" xfId="18519"/>
    <cellStyle name="Normal 31" xfId="11999"/>
    <cellStyle name="Normal 31 10" xfId="12000"/>
    <cellStyle name="Normal 31 11" xfId="12001"/>
    <cellStyle name="Normal 31 11 2" xfId="12002"/>
    <cellStyle name="Normal 31 11 2 2" xfId="12003"/>
    <cellStyle name="Normal 31 11 2 2 2" xfId="12004"/>
    <cellStyle name="Normal 31 11 2 3" xfId="12005"/>
    <cellStyle name="Normal 31 11 3" xfId="12006"/>
    <cellStyle name="Normal 31 11 3 2" xfId="12007"/>
    <cellStyle name="Normal 31 11 3 2 2" xfId="12008"/>
    <cellStyle name="Normal 31 11 3 3" xfId="12009"/>
    <cellStyle name="Normal 31 11 4" xfId="12010"/>
    <cellStyle name="Normal 31 11 4 2" xfId="12011"/>
    <cellStyle name="Normal 31 11 5" xfId="12012"/>
    <cellStyle name="Normal 31 12" xfId="12013"/>
    <cellStyle name="Normal 31 13" xfId="12014"/>
    <cellStyle name="Normal 31 13 2" xfId="12015"/>
    <cellStyle name="Normal 31 13 2 2" xfId="12016"/>
    <cellStyle name="Normal 31 13 3" xfId="12017"/>
    <cellStyle name="Normal 31 14" xfId="12018"/>
    <cellStyle name="Normal 31 14 2" xfId="12019"/>
    <cellStyle name="Normal 31 14 2 2" xfId="12020"/>
    <cellStyle name="Normal 31 14 3" xfId="12021"/>
    <cellStyle name="Normal 31 15" xfId="12022"/>
    <cellStyle name="Normal 31 15 2" xfId="12023"/>
    <cellStyle name="Normal 31 16" xfId="12024"/>
    <cellStyle name="Normal 31 2" xfId="12025"/>
    <cellStyle name="Normal 31 2 10" xfId="12026"/>
    <cellStyle name="Normal 31 2 10 2" xfId="12027"/>
    <cellStyle name="Normal 31 2 11" xfId="12028"/>
    <cellStyle name="Normal 31 2 2" xfId="12029"/>
    <cellStyle name="Normal 31 2 2 2" xfId="12030"/>
    <cellStyle name="Normal 31 2 2 2 2" xfId="12031"/>
    <cellStyle name="Normal 31 2 2 2 2 2" xfId="12032"/>
    <cellStyle name="Normal 31 2 2 2 2 2 2" xfId="12033"/>
    <cellStyle name="Normal 31 2 2 2 2 3" xfId="12034"/>
    <cellStyle name="Normal 31 2 2 2 3" xfId="12035"/>
    <cellStyle name="Normal 31 2 2 2 3 2" xfId="12036"/>
    <cellStyle name="Normal 31 2 2 2 3 2 2" xfId="12037"/>
    <cellStyle name="Normal 31 2 2 2 3 3" xfId="12038"/>
    <cellStyle name="Normal 31 2 2 2 4" xfId="12039"/>
    <cellStyle name="Normal 31 2 2 2 4 2" xfId="12040"/>
    <cellStyle name="Normal 31 2 2 2 5" xfId="12041"/>
    <cellStyle name="Normal 31 2 2 3" xfId="12042"/>
    <cellStyle name="Normal 31 2 2 3 2" xfId="12043"/>
    <cellStyle name="Normal 31 2 2 3 2 2" xfId="12044"/>
    <cellStyle name="Normal 31 2 2 3 2 2 2" xfId="12045"/>
    <cellStyle name="Normal 31 2 2 3 2 3" xfId="12046"/>
    <cellStyle name="Normal 31 2 2 3 3" xfId="12047"/>
    <cellStyle name="Normal 31 2 2 3 3 2" xfId="12048"/>
    <cellStyle name="Normal 31 2 2 3 3 2 2" xfId="12049"/>
    <cellStyle name="Normal 31 2 2 3 3 3" xfId="12050"/>
    <cellStyle name="Normal 31 2 2 3 4" xfId="12051"/>
    <cellStyle name="Normal 31 2 2 3 4 2" xfId="12052"/>
    <cellStyle name="Normal 31 2 2 3 5" xfId="12053"/>
    <cellStyle name="Normal 31 2 2 4" xfId="12054"/>
    <cellStyle name="Normal 31 2 2 4 2" xfId="12055"/>
    <cellStyle name="Normal 31 2 2 4 2 2" xfId="12056"/>
    <cellStyle name="Normal 31 2 2 4 2 2 2" xfId="12057"/>
    <cellStyle name="Normal 31 2 2 4 2 3" xfId="12058"/>
    <cellStyle name="Normal 31 2 2 4 3" xfId="12059"/>
    <cellStyle name="Normal 31 2 2 4 3 2" xfId="12060"/>
    <cellStyle name="Normal 31 2 2 4 3 2 2" xfId="12061"/>
    <cellStyle name="Normal 31 2 2 4 3 3" xfId="12062"/>
    <cellStyle name="Normal 31 2 2 4 4" xfId="12063"/>
    <cellStyle name="Normal 31 2 2 4 4 2" xfId="12064"/>
    <cellStyle name="Normal 31 2 2 4 5" xfId="12065"/>
    <cellStyle name="Normal 31 2 2 5" xfId="12066"/>
    <cellStyle name="Normal 31 2 2 5 2" xfId="12067"/>
    <cellStyle name="Normal 31 2 2 5 2 2" xfId="12068"/>
    <cellStyle name="Normal 31 2 2 5 3" xfId="12069"/>
    <cellStyle name="Normal 31 2 2 6" xfId="12070"/>
    <cellStyle name="Normal 31 2 2 6 2" xfId="12071"/>
    <cellStyle name="Normal 31 2 2 6 2 2" xfId="12072"/>
    <cellStyle name="Normal 31 2 2 6 3" xfId="12073"/>
    <cellStyle name="Normal 31 2 2 7" xfId="12074"/>
    <cellStyle name="Normal 31 2 2 7 2" xfId="12075"/>
    <cellStyle name="Normal 31 2 2 8" xfId="12076"/>
    <cellStyle name="Normal 31 2 3" xfId="12077"/>
    <cellStyle name="Normal 31 2 3 2" xfId="12078"/>
    <cellStyle name="Normal 31 2 3 3" xfId="12079"/>
    <cellStyle name="Normal 31 2 3 3 2" xfId="12080"/>
    <cellStyle name="Normal 31 2 3 3 2 2" xfId="12081"/>
    <cellStyle name="Normal 31 2 3 3 3" xfId="12082"/>
    <cellStyle name="Normal 31 2 3 4" xfId="12083"/>
    <cellStyle name="Normal 31 2 3 4 2" xfId="12084"/>
    <cellStyle name="Normal 31 2 3 4 2 2" xfId="12085"/>
    <cellStyle name="Normal 31 2 3 4 3" xfId="12086"/>
    <cellStyle name="Normal 31 2 3 5" xfId="12087"/>
    <cellStyle name="Normal 31 2 3 5 2" xfId="12088"/>
    <cellStyle name="Normal 31 2 3 6" xfId="12089"/>
    <cellStyle name="Normal 31 2 4" xfId="12090"/>
    <cellStyle name="Normal 31 2 4 2" xfId="12091"/>
    <cellStyle name="Normal 31 2 4 2 2" xfId="12092"/>
    <cellStyle name="Normal 31 2 4 2 2 2" xfId="12093"/>
    <cellStyle name="Normal 31 2 4 2 3" xfId="12094"/>
    <cellStyle name="Normal 31 2 4 3" xfId="12095"/>
    <cellStyle name="Normal 31 2 4 3 2" xfId="12096"/>
    <cellStyle name="Normal 31 2 4 3 2 2" xfId="12097"/>
    <cellStyle name="Normal 31 2 4 3 3" xfId="12098"/>
    <cellStyle name="Normal 31 2 4 4" xfId="12099"/>
    <cellStyle name="Normal 31 2 4 4 2" xfId="12100"/>
    <cellStyle name="Normal 31 2 4 5" xfId="12101"/>
    <cellStyle name="Normal 31 2 5" xfId="12102"/>
    <cellStyle name="Normal 31 2 5 2" xfId="12103"/>
    <cellStyle name="Normal 31 2 5 2 2" xfId="12104"/>
    <cellStyle name="Normal 31 2 5 2 2 2" xfId="12105"/>
    <cellStyle name="Normal 31 2 5 2 3" xfId="12106"/>
    <cellStyle name="Normal 31 2 5 3" xfId="12107"/>
    <cellStyle name="Normal 31 2 5 3 2" xfId="12108"/>
    <cellStyle name="Normal 31 2 5 3 2 2" xfId="12109"/>
    <cellStyle name="Normal 31 2 5 3 3" xfId="12110"/>
    <cellStyle name="Normal 31 2 5 4" xfId="12111"/>
    <cellStyle name="Normal 31 2 5 4 2" xfId="12112"/>
    <cellStyle name="Normal 31 2 5 5" xfId="12113"/>
    <cellStyle name="Normal 31 2 6" xfId="12114"/>
    <cellStyle name="Normal 31 2 6 2" xfId="12115"/>
    <cellStyle name="Normal 31 2 6 2 2" xfId="12116"/>
    <cellStyle name="Normal 31 2 6 3" xfId="12117"/>
    <cellStyle name="Normal 31 2 7" xfId="12118"/>
    <cellStyle name="Normal 31 2 7 2" xfId="12119"/>
    <cellStyle name="Normal 31 2 7 2 2" xfId="12120"/>
    <cellStyle name="Normal 31 2 7 3" xfId="12121"/>
    <cellStyle name="Normal 31 2 8" xfId="12122"/>
    <cellStyle name="Normal 31 2 8 2" xfId="12123"/>
    <cellStyle name="Normal 31 2 8 2 2" xfId="12124"/>
    <cellStyle name="Normal 31 2 8 3" xfId="12125"/>
    <cellStyle name="Normal 31 2 9" xfId="12126"/>
    <cellStyle name="Normal 31 2 9 2" xfId="12127"/>
    <cellStyle name="Normal 31 2 9 2 2" xfId="12128"/>
    <cellStyle name="Normal 31 2 9 3" xfId="12129"/>
    <cellStyle name="Normal 31 3" xfId="12130"/>
    <cellStyle name="Normal 31 3 10" xfId="12131"/>
    <cellStyle name="Normal 31 3 10 2" xfId="12132"/>
    <cellStyle name="Normal 31 3 11" xfId="12133"/>
    <cellStyle name="Normal 31 3 2" xfId="12134"/>
    <cellStyle name="Normal 31 3 2 2" xfId="12135"/>
    <cellStyle name="Normal 31 3 2 2 2" xfId="12136"/>
    <cellStyle name="Normal 31 3 2 2 2 2" xfId="12137"/>
    <cellStyle name="Normal 31 3 2 2 2 2 2" xfId="12138"/>
    <cellStyle name="Normal 31 3 2 2 2 3" xfId="12139"/>
    <cellStyle name="Normal 31 3 2 2 3" xfId="12140"/>
    <cellStyle name="Normal 31 3 2 2 3 2" xfId="12141"/>
    <cellStyle name="Normal 31 3 2 2 3 2 2" xfId="12142"/>
    <cellStyle name="Normal 31 3 2 2 3 3" xfId="12143"/>
    <cellStyle name="Normal 31 3 2 2 4" xfId="12144"/>
    <cellStyle name="Normal 31 3 2 2 4 2" xfId="12145"/>
    <cellStyle name="Normal 31 3 2 2 5" xfId="12146"/>
    <cellStyle name="Normal 31 3 2 3" xfId="12147"/>
    <cellStyle name="Normal 31 3 2 3 2" xfId="12148"/>
    <cellStyle name="Normal 31 3 2 3 2 2" xfId="12149"/>
    <cellStyle name="Normal 31 3 2 3 2 2 2" xfId="12150"/>
    <cellStyle name="Normal 31 3 2 3 2 3" xfId="12151"/>
    <cellStyle name="Normal 31 3 2 3 3" xfId="12152"/>
    <cellStyle name="Normal 31 3 2 3 3 2" xfId="12153"/>
    <cellStyle name="Normal 31 3 2 3 3 2 2" xfId="12154"/>
    <cellStyle name="Normal 31 3 2 3 3 3" xfId="12155"/>
    <cellStyle name="Normal 31 3 2 3 4" xfId="12156"/>
    <cellStyle name="Normal 31 3 2 3 4 2" xfId="12157"/>
    <cellStyle name="Normal 31 3 2 3 5" xfId="12158"/>
    <cellStyle name="Normal 31 3 2 4" xfId="12159"/>
    <cellStyle name="Normal 31 3 2 4 2" xfId="12160"/>
    <cellStyle name="Normal 31 3 2 4 2 2" xfId="12161"/>
    <cellStyle name="Normal 31 3 2 4 2 2 2" xfId="12162"/>
    <cellStyle name="Normal 31 3 2 4 2 3" xfId="12163"/>
    <cellStyle name="Normal 31 3 2 4 3" xfId="12164"/>
    <cellStyle name="Normal 31 3 2 4 3 2" xfId="12165"/>
    <cellStyle name="Normal 31 3 2 4 3 2 2" xfId="12166"/>
    <cellStyle name="Normal 31 3 2 4 3 3" xfId="12167"/>
    <cellStyle name="Normal 31 3 2 4 4" xfId="12168"/>
    <cellStyle name="Normal 31 3 2 4 4 2" xfId="12169"/>
    <cellStyle name="Normal 31 3 2 4 5" xfId="12170"/>
    <cellStyle name="Normal 31 3 2 5" xfId="12171"/>
    <cellStyle name="Normal 31 3 2 5 2" xfId="12172"/>
    <cellStyle name="Normal 31 3 2 5 2 2" xfId="12173"/>
    <cellStyle name="Normal 31 3 2 5 3" xfId="12174"/>
    <cellStyle name="Normal 31 3 2 6" xfId="12175"/>
    <cellStyle name="Normal 31 3 2 6 2" xfId="12176"/>
    <cellStyle name="Normal 31 3 2 6 2 2" xfId="12177"/>
    <cellStyle name="Normal 31 3 2 6 3" xfId="12178"/>
    <cellStyle name="Normal 31 3 2 7" xfId="12179"/>
    <cellStyle name="Normal 31 3 2 7 2" xfId="12180"/>
    <cellStyle name="Normal 31 3 2 8" xfId="12181"/>
    <cellStyle name="Normal 31 3 3" xfId="12182"/>
    <cellStyle name="Normal 31 3 3 2" xfId="12183"/>
    <cellStyle name="Normal 31 3 3 3" xfId="12184"/>
    <cellStyle name="Normal 31 3 3 3 2" xfId="12185"/>
    <cellStyle name="Normal 31 3 3 3 2 2" xfId="12186"/>
    <cellStyle name="Normal 31 3 3 3 3" xfId="12187"/>
    <cellStyle name="Normal 31 3 3 4" xfId="12188"/>
    <cellStyle name="Normal 31 3 3 4 2" xfId="12189"/>
    <cellStyle name="Normal 31 3 3 4 2 2" xfId="12190"/>
    <cellStyle name="Normal 31 3 3 4 3" xfId="12191"/>
    <cellStyle name="Normal 31 3 3 5" xfId="12192"/>
    <cellStyle name="Normal 31 3 3 5 2" xfId="12193"/>
    <cellStyle name="Normal 31 3 3 6" xfId="12194"/>
    <cellStyle name="Normal 31 3 4" xfId="12195"/>
    <cellStyle name="Normal 31 3 4 2" xfId="12196"/>
    <cellStyle name="Normal 31 3 4 2 2" xfId="12197"/>
    <cellStyle name="Normal 31 3 4 2 2 2" xfId="12198"/>
    <cellStyle name="Normal 31 3 4 2 3" xfId="12199"/>
    <cellStyle name="Normal 31 3 4 3" xfId="12200"/>
    <cellStyle name="Normal 31 3 4 3 2" xfId="12201"/>
    <cellStyle name="Normal 31 3 4 3 2 2" xfId="12202"/>
    <cellStyle name="Normal 31 3 4 3 3" xfId="12203"/>
    <cellStyle name="Normal 31 3 4 4" xfId="12204"/>
    <cellStyle name="Normal 31 3 4 4 2" xfId="12205"/>
    <cellStyle name="Normal 31 3 4 5" xfId="12206"/>
    <cellStyle name="Normal 31 3 5" xfId="12207"/>
    <cellStyle name="Normal 31 3 5 2" xfId="12208"/>
    <cellStyle name="Normal 31 3 5 2 2" xfId="12209"/>
    <cellStyle name="Normal 31 3 5 2 2 2" xfId="12210"/>
    <cellStyle name="Normal 31 3 5 2 3" xfId="12211"/>
    <cellStyle name="Normal 31 3 5 3" xfId="12212"/>
    <cellStyle name="Normal 31 3 5 3 2" xfId="12213"/>
    <cellStyle name="Normal 31 3 5 3 2 2" xfId="12214"/>
    <cellStyle name="Normal 31 3 5 3 3" xfId="12215"/>
    <cellStyle name="Normal 31 3 5 4" xfId="12216"/>
    <cellStyle name="Normal 31 3 5 4 2" xfId="12217"/>
    <cellStyle name="Normal 31 3 5 5" xfId="12218"/>
    <cellStyle name="Normal 31 3 6" xfId="12219"/>
    <cellStyle name="Normal 31 3 6 2" xfId="12220"/>
    <cellStyle name="Normal 31 3 6 2 2" xfId="12221"/>
    <cellStyle name="Normal 31 3 6 3" xfId="12222"/>
    <cellStyle name="Normal 31 3 7" xfId="12223"/>
    <cellStyle name="Normal 31 3 7 2" xfId="12224"/>
    <cellStyle name="Normal 31 3 7 2 2" xfId="12225"/>
    <cellStyle name="Normal 31 3 7 3" xfId="12226"/>
    <cellStyle name="Normal 31 3 8" xfId="12227"/>
    <cellStyle name="Normal 31 3 8 2" xfId="12228"/>
    <cellStyle name="Normal 31 3 8 2 2" xfId="12229"/>
    <cellStyle name="Normal 31 3 8 3" xfId="12230"/>
    <cellStyle name="Normal 31 3 9" xfId="12231"/>
    <cellStyle name="Normal 31 3 9 2" xfId="12232"/>
    <cellStyle name="Normal 31 3 9 2 2" xfId="12233"/>
    <cellStyle name="Normal 31 3 9 3" xfId="12234"/>
    <cellStyle name="Normal 31 4" xfId="12235"/>
    <cellStyle name="Normal 31 4 2" xfId="12236"/>
    <cellStyle name="Normal 31 4 2 2" xfId="12237"/>
    <cellStyle name="Normal 31 4 2 3" xfId="12238"/>
    <cellStyle name="Normal 31 4 2 3 2" xfId="12239"/>
    <cellStyle name="Normal 31 4 2 3 2 2" xfId="12240"/>
    <cellStyle name="Normal 31 4 2 3 3" xfId="12241"/>
    <cellStyle name="Normal 31 4 2 4" xfId="12242"/>
    <cellStyle name="Normal 31 4 2 4 2" xfId="12243"/>
    <cellStyle name="Normal 31 4 2 4 2 2" xfId="12244"/>
    <cellStyle name="Normal 31 4 2 4 3" xfId="12245"/>
    <cellStyle name="Normal 31 4 2 5" xfId="12246"/>
    <cellStyle name="Normal 31 4 2 5 2" xfId="12247"/>
    <cellStyle name="Normal 31 4 2 6" xfId="12248"/>
    <cellStyle name="Normal 31 4 3" xfId="12249"/>
    <cellStyle name="Normal 31 4 3 2" xfId="12250"/>
    <cellStyle name="Normal 31 4 3 2 2" xfId="12251"/>
    <cellStyle name="Normal 31 4 3 2 2 2" xfId="12252"/>
    <cellStyle name="Normal 31 4 3 2 3" xfId="12253"/>
    <cellStyle name="Normal 31 4 3 3" xfId="12254"/>
    <cellStyle name="Normal 31 4 3 3 2" xfId="12255"/>
    <cellStyle name="Normal 31 4 3 3 2 2" xfId="12256"/>
    <cellStyle name="Normal 31 4 3 3 3" xfId="12257"/>
    <cellStyle name="Normal 31 4 3 4" xfId="12258"/>
    <cellStyle name="Normal 31 4 3 4 2" xfId="12259"/>
    <cellStyle name="Normal 31 4 3 5" xfId="12260"/>
    <cellStyle name="Normal 31 4 4" xfId="12261"/>
    <cellStyle name="Normal 31 4 4 2" xfId="12262"/>
    <cellStyle name="Normal 31 4 4 2 2" xfId="12263"/>
    <cellStyle name="Normal 31 4 4 2 2 2" xfId="12264"/>
    <cellStyle name="Normal 31 4 4 2 3" xfId="12265"/>
    <cellStyle name="Normal 31 4 4 3" xfId="12266"/>
    <cellStyle name="Normal 31 4 4 3 2" xfId="12267"/>
    <cellStyle name="Normal 31 4 4 3 2 2" xfId="12268"/>
    <cellStyle name="Normal 31 4 4 3 3" xfId="12269"/>
    <cellStyle name="Normal 31 4 4 4" xfId="12270"/>
    <cellStyle name="Normal 31 4 4 4 2" xfId="12271"/>
    <cellStyle name="Normal 31 4 4 5" xfId="12272"/>
    <cellStyle name="Normal 31 4 5" xfId="12273"/>
    <cellStyle name="Normal 31 4 5 2" xfId="12274"/>
    <cellStyle name="Normal 31 4 5 2 2" xfId="12275"/>
    <cellStyle name="Normal 31 4 5 3" xfId="12276"/>
    <cellStyle name="Normal 31 4 6" xfId="12277"/>
    <cellStyle name="Normal 31 4 6 2" xfId="12278"/>
    <cellStyle name="Normal 31 4 6 2 2" xfId="12279"/>
    <cellStyle name="Normal 31 4 6 3" xfId="12280"/>
    <cellStyle name="Normal 31 4 7" xfId="12281"/>
    <cellStyle name="Normal 31 4 7 2" xfId="12282"/>
    <cellStyle name="Normal 31 4 8" xfId="12283"/>
    <cellStyle name="Normal 31 5" xfId="12284"/>
    <cellStyle name="Normal 31 5 2" xfId="12285"/>
    <cellStyle name="Normal 31 5 3" xfId="12286"/>
    <cellStyle name="Normal 31 5 3 2" xfId="12287"/>
    <cellStyle name="Normal 31 5 3 2 2" xfId="12288"/>
    <cellStyle name="Normal 31 5 3 3" xfId="12289"/>
    <cellStyle name="Normal 31 5 4" xfId="12290"/>
    <cellStyle name="Normal 31 5 4 2" xfId="12291"/>
    <cellStyle name="Normal 31 5 4 2 2" xfId="12292"/>
    <cellStyle name="Normal 31 5 4 3" xfId="12293"/>
    <cellStyle name="Normal 31 5 5" xfId="12294"/>
    <cellStyle name="Normal 31 5 5 2" xfId="12295"/>
    <cellStyle name="Normal 31 5 6" xfId="12296"/>
    <cellStyle name="Normal 31 6" xfId="12297"/>
    <cellStyle name="Normal 31 6 2" xfId="12298"/>
    <cellStyle name="Normal 31 6 3" xfId="12299"/>
    <cellStyle name="Normal 31 6 3 2" xfId="12300"/>
    <cellStyle name="Normal 31 6 3 2 2" xfId="12301"/>
    <cellStyle name="Normal 31 6 3 3" xfId="12302"/>
    <cellStyle name="Normal 31 6 4" xfId="12303"/>
    <cellStyle name="Normal 31 6 4 2" xfId="12304"/>
    <cellStyle name="Normal 31 6 4 2 2" xfId="12305"/>
    <cellStyle name="Normal 31 6 4 3" xfId="12306"/>
    <cellStyle name="Normal 31 6 5" xfId="12307"/>
    <cellStyle name="Normal 31 6 5 2" xfId="12308"/>
    <cellStyle name="Normal 31 6 6" xfId="12309"/>
    <cellStyle name="Normal 31 7" xfId="12310"/>
    <cellStyle name="Normal 31 8" xfId="12311"/>
    <cellStyle name="Normal 31 9" xfId="12312"/>
    <cellStyle name="Normal 310" xfId="18520"/>
    <cellStyle name="Normal 311" xfId="18521"/>
    <cellStyle name="Normal 312" xfId="18522"/>
    <cellStyle name="Normal 313" xfId="18523"/>
    <cellStyle name="Normal 314" xfId="18524"/>
    <cellStyle name="Normal 315" xfId="18525"/>
    <cellStyle name="Normal 316" xfId="18526"/>
    <cellStyle name="Normal 317" xfId="18527"/>
    <cellStyle name="Normal 318" xfId="18528"/>
    <cellStyle name="Normal 319" xfId="18008"/>
    <cellStyle name="Normal 32" xfId="12313"/>
    <cellStyle name="Normal 32 10" xfId="12314"/>
    <cellStyle name="Normal 32 11" xfId="12315"/>
    <cellStyle name="Normal 32 11 2" xfId="12316"/>
    <cellStyle name="Normal 32 11 2 2" xfId="12317"/>
    <cellStyle name="Normal 32 11 2 2 2" xfId="12318"/>
    <cellStyle name="Normal 32 11 2 3" xfId="12319"/>
    <cellStyle name="Normal 32 11 3" xfId="12320"/>
    <cellStyle name="Normal 32 11 3 2" xfId="12321"/>
    <cellStyle name="Normal 32 11 3 2 2" xfId="12322"/>
    <cellStyle name="Normal 32 11 3 3" xfId="12323"/>
    <cellStyle name="Normal 32 11 4" xfId="12324"/>
    <cellStyle name="Normal 32 11 4 2" xfId="12325"/>
    <cellStyle name="Normal 32 11 5" xfId="12326"/>
    <cellStyle name="Normal 32 12" xfId="12327"/>
    <cellStyle name="Normal 32 13" xfId="12328"/>
    <cellStyle name="Normal 32 13 2" xfId="12329"/>
    <cellStyle name="Normal 32 13 2 2" xfId="12330"/>
    <cellStyle name="Normal 32 13 3" xfId="12331"/>
    <cellStyle name="Normal 32 14" xfId="12332"/>
    <cellStyle name="Normal 32 14 2" xfId="12333"/>
    <cellStyle name="Normal 32 14 2 2" xfId="12334"/>
    <cellStyle name="Normal 32 14 3" xfId="12335"/>
    <cellStyle name="Normal 32 15" xfId="12336"/>
    <cellStyle name="Normal 32 15 2" xfId="12337"/>
    <cellStyle name="Normal 32 16" xfId="12338"/>
    <cellStyle name="Normal 32 2" xfId="12339"/>
    <cellStyle name="Normal 32 2 10" xfId="12340"/>
    <cellStyle name="Normal 32 2 10 2" xfId="12341"/>
    <cellStyle name="Normal 32 2 11" xfId="12342"/>
    <cellStyle name="Normal 32 2 2" xfId="12343"/>
    <cellStyle name="Normal 32 2 2 2" xfId="12344"/>
    <cellStyle name="Normal 32 2 2 2 2" xfId="12345"/>
    <cellStyle name="Normal 32 2 2 2 2 2" xfId="12346"/>
    <cellStyle name="Normal 32 2 2 2 2 2 2" xfId="12347"/>
    <cellStyle name="Normal 32 2 2 2 2 3" xfId="12348"/>
    <cellStyle name="Normal 32 2 2 2 3" xfId="12349"/>
    <cellStyle name="Normal 32 2 2 2 3 2" xfId="12350"/>
    <cellStyle name="Normal 32 2 2 2 3 2 2" xfId="12351"/>
    <cellStyle name="Normal 32 2 2 2 3 3" xfId="12352"/>
    <cellStyle name="Normal 32 2 2 2 4" xfId="12353"/>
    <cellStyle name="Normal 32 2 2 2 4 2" xfId="12354"/>
    <cellStyle name="Normal 32 2 2 2 5" xfId="12355"/>
    <cellStyle name="Normal 32 2 2 3" xfId="12356"/>
    <cellStyle name="Normal 32 2 2 3 2" xfId="12357"/>
    <cellStyle name="Normal 32 2 2 3 2 2" xfId="12358"/>
    <cellStyle name="Normal 32 2 2 3 2 2 2" xfId="12359"/>
    <cellStyle name="Normal 32 2 2 3 2 3" xfId="12360"/>
    <cellStyle name="Normal 32 2 2 3 3" xfId="12361"/>
    <cellStyle name="Normal 32 2 2 3 3 2" xfId="12362"/>
    <cellStyle name="Normal 32 2 2 3 3 2 2" xfId="12363"/>
    <cellStyle name="Normal 32 2 2 3 3 3" xfId="12364"/>
    <cellStyle name="Normal 32 2 2 3 4" xfId="12365"/>
    <cellStyle name="Normal 32 2 2 3 4 2" xfId="12366"/>
    <cellStyle name="Normal 32 2 2 3 5" xfId="12367"/>
    <cellStyle name="Normal 32 2 2 4" xfId="12368"/>
    <cellStyle name="Normal 32 2 2 4 2" xfId="12369"/>
    <cellStyle name="Normal 32 2 2 4 2 2" xfId="12370"/>
    <cellStyle name="Normal 32 2 2 4 2 2 2" xfId="12371"/>
    <cellStyle name="Normal 32 2 2 4 2 3" xfId="12372"/>
    <cellStyle name="Normal 32 2 2 4 3" xfId="12373"/>
    <cellStyle name="Normal 32 2 2 4 3 2" xfId="12374"/>
    <cellStyle name="Normal 32 2 2 4 3 2 2" xfId="12375"/>
    <cellStyle name="Normal 32 2 2 4 3 3" xfId="12376"/>
    <cellStyle name="Normal 32 2 2 4 4" xfId="12377"/>
    <cellStyle name="Normal 32 2 2 4 4 2" xfId="12378"/>
    <cellStyle name="Normal 32 2 2 4 5" xfId="12379"/>
    <cellStyle name="Normal 32 2 2 5" xfId="12380"/>
    <cellStyle name="Normal 32 2 2 5 2" xfId="12381"/>
    <cellStyle name="Normal 32 2 2 5 2 2" xfId="12382"/>
    <cellStyle name="Normal 32 2 2 5 3" xfId="12383"/>
    <cellStyle name="Normal 32 2 2 6" xfId="12384"/>
    <cellStyle name="Normal 32 2 2 6 2" xfId="12385"/>
    <cellStyle name="Normal 32 2 2 6 2 2" xfId="12386"/>
    <cellStyle name="Normal 32 2 2 6 3" xfId="12387"/>
    <cellStyle name="Normal 32 2 2 7" xfId="12388"/>
    <cellStyle name="Normal 32 2 2 7 2" xfId="12389"/>
    <cellStyle name="Normal 32 2 2 8" xfId="12390"/>
    <cellStyle name="Normal 32 2 3" xfId="12391"/>
    <cellStyle name="Normal 32 2 3 2" xfId="12392"/>
    <cellStyle name="Normal 32 2 3 3" xfId="12393"/>
    <cellStyle name="Normal 32 2 3 3 2" xfId="12394"/>
    <cellStyle name="Normal 32 2 3 3 2 2" xfId="12395"/>
    <cellStyle name="Normal 32 2 3 3 3" xfId="12396"/>
    <cellStyle name="Normal 32 2 3 4" xfId="12397"/>
    <cellStyle name="Normal 32 2 3 4 2" xfId="12398"/>
    <cellStyle name="Normal 32 2 3 4 2 2" xfId="12399"/>
    <cellStyle name="Normal 32 2 3 4 3" xfId="12400"/>
    <cellStyle name="Normal 32 2 3 5" xfId="12401"/>
    <cellStyle name="Normal 32 2 3 5 2" xfId="12402"/>
    <cellStyle name="Normal 32 2 3 6" xfId="12403"/>
    <cellStyle name="Normal 32 2 4" xfId="12404"/>
    <cellStyle name="Normal 32 2 4 2" xfId="12405"/>
    <cellStyle name="Normal 32 2 4 2 2" xfId="12406"/>
    <cellStyle name="Normal 32 2 4 2 2 2" xfId="12407"/>
    <cellStyle name="Normal 32 2 4 2 3" xfId="12408"/>
    <cellStyle name="Normal 32 2 4 3" xfId="12409"/>
    <cellStyle name="Normal 32 2 4 3 2" xfId="12410"/>
    <cellStyle name="Normal 32 2 4 3 2 2" xfId="12411"/>
    <cellStyle name="Normal 32 2 4 3 3" xfId="12412"/>
    <cellStyle name="Normal 32 2 4 4" xfId="12413"/>
    <cellStyle name="Normal 32 2 4 4 2" xfId="12414"/>
    <cellStyle name="Normal 32 2 4 5" xfId="12415"/>
    <cellStyle name="Normal 32 2 5" xfId="12416"/>
    <cellStyle name="Normal 32 2 5 2" xfId="12417"/>
    <cellStyle name="Normal 32 2 5 2 2" xfId="12418"/>
    <cellStyle name="Normal 32 2 5 2 2 2" xfId="12419"/>
    <cellStyle name="Normal 32 2 5 2 3" xfId="12420"/>
    <cellStyle name="Normal 32 2 5 3" xfId="12421"/>
    <cellStyle name="Normal 32 2 5 3 2" xfId="12422"/>
    <cellStyle name="Normal 32 2 5 3 2 2" xfId="12423"/>
    <cellStyle name="Normal 32 2 5 3 3" xfId="12424"/>
    <cellStyle name="Normal 32 2 5 4" xfId="12425"/>
    <cellStyle name="Normal 32 2 5 4 2" xfId="12426"/>
    <cellStyle name="Normal 32 2 5 5" xfId="12427"/>
    <cellStyle name="Normal 32 2 6" xfId="12428"/>
    <cellStyle name="Normal 32 2 6 2" xfId="12429"/>
    <cellStyle name="Normal 32 2 6 2 2" xfId="12430"/>
    <cellStyle name="Normal 32 2 6 3" xfId="12431"/>
    <cellStyle name="Normal 32 2 7" xfId="12432"/>
    <cellStyle name="Normal 32 2 7 2" xfId="12433"/>
    <cellStyle name="Normal 32 2 7 2 2" xfId="12434"/>
    <cellStyle name="Normal 32 2 7 3" xfId="12435"/>
    <cellStyle name="Normal 32 2 8" xfId="12436"/>
    <cellStyle name="Normal 32 2 8 2" xfId="12437"/>
    <cellStyle name="Normal 32 2 8 2 2" xfId="12438"/>
    <cellStyle name="Normal 32 2 8 3" xfId="12439"/>
    <cellStyle name="Normal 32 2 9" xfId="12440"/>
    <cellStyle name="Normal 32 2 9 2" xfId="12441"/>
    <cellStyle name="Normal 32 2 9 2 2" xfId="12442"/>
    <cellStyle name="Normal 32 2 9 3" xfId="12443"/>
    <cellStyle name="Normal 32 3" xfId="12444"/>
    <cellStyle name="Normal 32 3 10" xfId="12445"/>
    <cellStyle name="Normal 32 3 10 2" xfId="12446"/>
    <cellStyle name="Normal 32 3 11" xfId="12447"/>
    <cellStyle name="Normal 32 3 2" xfId="12448"/>
    <cellStyle name="Normal 32 3 2 2" xfId="12449"/>
    <cellStyle name="Normal 32 3 2 2 2" xfId="12450"/>
    <cellStyle name="Normal 32 3 2 2 2 2" xfId="12451"/>
    <cellStyle name="Normal 32 3 2 2 2 2 2" xfId="12452"/>
    <cellStyle name="Normal 32 3 2 2 2 3" xfId="12453"/>
    <cellStyle name="Normal 32 3 2 2 3" xfId="12454"/>
    <cellStyle name="Normal 32 3 2 2 3 2" xfId="12455"/>
    <cellStyle name="Normal 32 3 2 2 3 2 2" xfId="12456"/>
    <cellStyle name="Normal 32 3 2 2 3 3" xfId="12457"/>
    <cellStyle name="Normal 32 3 2 2 4" xfId="12458"/>
    <cellStyle name="Normal 32 3 2 2 4 2" xfId="12459"/>
    <cellStyle name="Normal 32 3 2 2 5" xfId="12460"/>
    <cellStyle name="Normal 32 3 2 3" xfId="12461"/>
    <cellStyle name="Normal 32 3 2 3 2" xfId="12462"/>
    <cellStyle name="Normal 32 3 2 3 2 2" xfId="12463"/>
    <cellStyle name="Normal 32 3 2 3 2 2 2" xfId="12464"/>
    <cellStyle name="Normal 32 3 2 3 2 3" xfId="12465"/>
    <cellStyle name="Normal 32 3 2 3 3" xfId="12466"/>
    <cellStyle name="Normal 32 3 2 3 3 2" xfId="12467"/>
    <cellStyle name="Normal 32 3 2 3 3 2 2" xfId="12468"/>
    <cellStyle name="Normal 32 3 2 3 3 3" xfId="12469"/>
    <cellStyle name="Normal 32 3 2 3 4" xfId="12470"/>
    <cellStyle name="Normal 32 3 2 3 4 2" xfId="12471"/>
    <cellStyle name="Normal 32 3 2 3 5" xfId="12472"/>
    <cellStyle name="Normal 32 3 2 4" xfId="12473"/>
    <cellStyle name="Normal 32 3 2 4 2" xfId="12474"/>
    <cellStyle name="Normal 32 3 2 4 2 2" xfId="12475"/>
    <cellStyle name="Normal 32 3 2 4 2 2 2" xfId="12476"/>
    <cellStyle name="Normal 32 3 2 4 2 3" xfId="12477"/>
    <cellStyle name="Normal 32 3 2 4 3" xfId="12478"/>
    <cellStyle name="Normal 32 3 2 4 3 2" xfId="12479"/>
    <cellStyle name="Normal 32 3 2 4 3 2 2" xfId="12480"/>
    <cellStyle name="Normal 32 3 2 4 3 3" xfId="12481"/>
    <cellStyle name="Normal 32 3 2 4 4" xfId="12482"/>
    <cellStyle name="Normal 32 3 2 4 4 2" xfId="12483"/>
    <cellStyle name="Normal 32 3 2 4 5" xfId="12484"/>
    <cellStyle name="Normal 32 3 2 5" xfId="12485"/>
    <cellStyle name="Normal 32 3 2 5 2" xfId="12486"/>
    <cellStyle name="Normal 32 3 2 5 2 2" xfId="12487"/>
    <cellStyle name="Normal 32 3 2 5 3" xfId="12488"/>
    <cellStyle name="Normal 32 3 2 6" xfId="12489"/>
    <cellStyle name="Normal 32 3 2 6 2" xfId="12490"/>
    <cellStyle name="Normal 32 3 2 6 2 2" xfId="12491"/>
    <cellStyle name="Normal 32 3 2 6 3" xfId="12492"/>
    <cellStyle name="Normal 32 3 2 7" xfId="12493"/>
    <cellStyle name="Normal 32 3 2 7 2" xfId="12494"/>
    <cellStyle name="Normal 32 3 2 8" xfId="12495"/>
    <cellStyle name="Normal 32 3 3" xfId="12496"/>
    <cellStyle name="Normal 32 3 3 2" xfId="12497"/>
    <cellStyle name="Normal 32 3 3 3" xfId="12498"/>
    <cellStyle name="Normal 32 3 3 3 2" xfId="12499"/>
    <cellStyle name="Normal 32 3 3 3 2 2" xfId="12500"/>
    <cellStyle name="Normal 32 3 3 3 3" xfId="12501"/>
    <cellStyle name="Normal 32 3 3 4" xfId="12502"/>
    <cellStyle name="Normal 32 3 3 4 2" xfId="12503"/>
    <cellStyle name="Normal 32 3 3 4 2 2" xfId="12504"/>
    <cellStyle name="Normal 32 3 3 4 3" xfId="12505"/>
    <cellStyle name="Normal 32 3 3 5" xfId="12506"/>
    <cellStyle name="Normal 32 3 3 5 2" xfId="12507"/>
    <cellStyle name="Normal 32 3 3 6" xfId="12508"/>
    <cellStyle name="Normal 32 3 4" xfId="12509"/>
    <cellStyle name="Normal 32 3 4 2" xfId="12510"/>
    <cellStyle name="Normal 32 3 4 2 2" xfId="12511"/>
    <cellStyle name="Normal 32 3 4 2 2 2" xfId="12512"/>
    <cellStyle name="Normal 32 3 4 2 3" xfId="12513"/>
    <cellStyle name="Normal 32 3 4 3" xfId="12514"/>
    <cellStyle name="Normal 32 3 4 3 2" xfId="12515"/>
    <cellStyle name="Normal 32 3 4 3 2 2" xfId="12516"/>
    <cellStyle name="Normal 32 3 4 3 3" xfId="12517"/>
    <cellStyle name="Normal 32 3 4 4" xfId="12518"/>
    <cellStyle name="Normal 32 3 4 4 2" xfId="12519"/>
    <cellStyle name="Normal 32 3 4 5" xfId="12520"/>
    <cellStyle name="Normal 32 3 5" xfId="12521"/>
    <cellStyle name="Normal 32 3 5 2" xfId="12522"/>
    <cellStyle name="Normal 32 3 5 2 2" xfId="12523"/>
    <cellStyle name="Normal 32 3 5 2 2 2" xfId="12524"/>
    <cellStyle name="Normal 32 3 5 2 3" xfId="12525"/>
    <cellStyle name="Normal 32 3 5 3" xfId="12526"/>
    <cellStyle name="Normal 32 3 5 3 2" xfId="12527"/>
    <cellStyle name="Normal 32 3 5 3 2 2" xfId="12528"/>
    <cellStyle name="Normal 32 3 5 3 3" xfId="12529"/>
    <cellStyle name="Normal 32 3 5 4" xfId="12530"/>
    <cellStyle name="Normal 32 3 5 4 2" xfId="12531"/>
    <cellStyle name="Normal 32 3 5 5" xfId="12532"/>
    <cellStyle name="Normal 32 3 6" xfId="12533"/>
    <cellStyle name="Normal 32 3 6 2" xfId="12534"/>
    <cellStyle name="Normal 32 3 6 2 2" xfId="12535"/>
    <cellStyle name="Normal 32 3 6 3" xfId="12536"/>
    <cellStyle name="Normal 32 3 7" xfId="12537"/>
    <cellStyle name="Normal 32 3 7 2" xfId="12538"/>
    <cellStyle name="Normal 32 3 7 2 2" xfId="12539"/>
    <cellStyle name="Normal 32 3 7 3" xfId="12540"/>
    <cellStyle name="Normal 32 3 8" xfId="12541"/>
    <cellStyle name="Normal 32 3 8 2" xfId="12542"/>
    <cellStyle name="Normal 32 3 8 2 2" xfId="12543"/>
    <cellStyle name="Normal 32 3 8 3" xfId="12544"/>
    <cellStyle name="Normal 32 3 9" xfId="12545"/>
    <cellStyle name="Normal 32 3 9 2" xfId="12546"/>
    <cellStyle name="Normal 32 3 9 2 2" xfId="12547"/>
    <cellStyle name="Normal 32 3 9 3" xfId="12548"/>
    <cellStyle name="Normal 32 4" xfId="12549"/>
    <cellStyle name="Normal 32 4 2" xfId="12550"/>
    <cellStyle name="Normal 32 4 2 2" xfId="12551"/>
    <cellStyle name="Normal 32 4 2 3" xfId="12552"/>
    <cellStyle name="Normal 32 4 2 3 2" xfId="12553"/>
    <cellStyle name="Normal 32 4 2 3 2 2" xfId="12554"/>
    <cellStyle name="Normal 32 4 2 3 3" xfId="12555"/>
    <cellStyle name="Normal 32 4 2 4" xfId="12556"/>
    <cellStyle name="Normal 32 4 2 4 2" xfId="12557"/>
    <cellStyle name="Normal 32 4 2 4 2 2" xfId="12558"/>
    <cellStyle name="Normal 32 4 2 4 3" xfId="12559"/>
    <cellStyle name="Normal 32 4 2 5" xfId="12560"/>
    <cellStyle name="Normal 32 4 2 5 2" xfId="12561"/>
    <cellStyle name="Normal 32 4 2 6" xfId="12562"/>
    <cellStyle name="Normal 32 4 3" xfId="12563"/>
    <cellStyle name="Normal 32 4 3 2" xfId="12564"/>
    <cellStyle name="Normal 32 4 3 2 2" xfId="12565"/>
    <cellStyle name="Normal 32 4 3 2 2 2" xfId="12566"/>
    <cellStyle name="Normal 32 4 3 2 3" xfId="12567"/>
    <cellStyle name="Normal 32 4 3 3" xfId="12568"/>
    <cellStyle name="Normal 32 4 3 3 2" xfId="12569"/>
    <cellStyle name="Normal 32 4 3 3 2 2" xfId="12570"/>
    <cellStyle name="Normal 32 4 3 3 3" xfId="12571"/>
    <cellStyle name="Normal 32 4 3 4" xfId="12572"/>
    <cellStyle name="Normal 32 4 3 4 2" xfId="12573"/>
    <cellStyle name="Normal 32 4 3 5" xfId="12574"/>
    <cellStyle name="Normal 32 4 4" xfId="12575"/>
    <cellStyle name="Normal 32 4 4 2" xfId="12576"/>
    <cellStyle name="Normal 32 4 4 2 2" xfId="12577"/>
    <cellStyle name="Normal 32 4 4 2 2 2" xfId="12578"/>
    <cellStyle name="Normal 32 4 4 2 3" xfId="12579"/>
    <cellStyle name="Normal 32 4 4 3" xfId="12580"/>
    <cellStyle name="Normal 32 4 4 3 2" xfId="12581"/>
    <cellStyle name="Normal 32 4 4 3 2 2" xfId="12582"/>
    <cellStyle name="Normal 32 4 4 3 3" xfId="12583"/>
    <cellStyle name="Normal 32 4 4 4" xfId="12584"/>
    <cellStyle name="Normal 32 4 4 4 2" xfId="12585"/>
    <cellStyle name="Normal 32 4 4 5" xfId="12586"/>
    <cellStyle name="Normal 32 4 5" xfId="12587"/>
    <cellStyle name="Normal 32 4 5 2" xfId="12588"/>
    <cellStyle name="Normal 32 4 5 2 2" xfId="12589"/>
    <cellStyle name="Normal 32 4 5 3" xfId="12590"/>
    <cellStyle name="Normal 32 4 6" xfId="12591"/>
    <cellStyle name="Normal 32 4 6 2" xfId="12592"/>
    <cellStyle name="Normal 32 4 6 2 2" xfId="12593"/>
    <cellStyle name="Normal 32 4 6 3" xfId="12594"/>
    <cellStyle name="Normal 32 4 7" xfId="12595"/>
    <cellStyle name="Normal 32 4 7 2" xfId="12596"/>
    <cellStyle name="Normal 32 4 8" xfId="12597"/>
    <cellStyle name="Normal 32 5" xfId="12598"/>
    <cellStyle name="Normal 32 5 2" xfId="12599"/>
    <cellStyle name="Normal 32 5 3" xfId="12600"/>
    <cellStyle name="Normal 32 5 3 2" xfId="12601"/>
    <cellStyle name="Normal 32 5 3 2 2" xfId="12602"/>
    <cellStyle name="Normal 32 5 3 3" xfId="12603"/>
    <cellStyle name="Normal 32 5 4" xfId="12604"/>
    <cellStyle name="Normal 32 5 4 2" xfId="12605"/>
    <cellStyle name="Normal 32 5 4 2 2" xfId="12606"/>
    <cellStyle name="Normal 32 5 4 3" xfId="12607"/>
    <cellStyle name="Normal 32 5 5" xfId="12608"/>
    <cellStyle name="Normal 32 5 5 2" xfId="12609"/>
    <cellStyle name="Normal 32 5 6" xfId="12610"/>
    <cellStyle name="Normal 32 6" xfId="12611"/>
    <cellStyle name="Normal 32 6 2" xfId="12612"/>
    <cellStyle name="Normal 32 6 3" xfId="12613"/>
    <cellStyle name="Normal 32 6 3 2" xfId="12614"/>
    <cellStyle name="Normal 32 6 3 2 2" xfId="12615"/>
    <cellStyle name="Normal 32 6 3 3" xfId="12616"/>
    <cellStyle name="Normal 32 6 4" xfId="12617"/>
    <cellStyle name="Normal 32 6 4 2" xfId="12618"/>
    <cellStyle name="Normal 32 6 4 2 2" xfId="12619"/>
    <cellStyle name="Normal 32 6 4 3" xfId="12620"/>
    <cellStyle name="Normal 32 6 5" xfId="12621"/>
    <cellStyle name="Normal 32 6 5 2" xfId="12622"/>
    <cellStyle name="Normal 32 6 6" xfId="12623"/>
    <cellStyle name="Normal 32 7" xfId="12624"/>
    <cellStyle name="Normal 32 8" xfId="12625"/>
    <cellStyle name="Normal 32 9" xfId="12626"/>
    <cellStyle name="Normal 33" xfId="12627"/>
    <cellStyle name="Normal 33 10" xfId="12628"/>
    <cellStyle name="Normal 33 11" xfId="12629"/>
    <cellStyle name="Normal 33 11 2" xfId="12630"/>
    <cellStyle name="Normal 33 11 2 2" xfId="12631"/>
    <cellStyle name="Normal 33 11 2 2 2" xfId="12632"/>
    <cellStyle name="Normal 33 11 2 3" xfId="12633"/>
    <cellStyle name="Normal 33 11 3" xfId="12634"/>
    <cellStyle name="Normal 33 11 3 2" xfId="12635"/>
    <cellStyle name="Normal 33 11 3 2 2" xfId="12636"/>
    <cellStyle name="Normal 33 11 3 3" xfId="12637"/>
    <cellStyle name="Normal 33 11 4" xfId="12638"/>
    <cellStyle name="Normal 33 11 4 2" xfId="12639"/>
    <cellStyle name="Normal 33 11 5" xfId="12640"/>
    <cellStyle name="Normal 33 12" xfId="12641"/>
    <cellStyle name="Normal 33 13" xfId="12642"/>
    <cellStyle name="Normal 33 13 2" xfId="12643"/>
    <cellStyle name="Normal 33 13 2 2" xfId="12644"/>
    <cellStyle name="Normal 33 13 3" xfId="12645"/>
    <cellStyle name="Normal 33 14" xfId="12646"/>
    <cellStyle name="Normal 33 14 2" xfId="12647"/>
    <cellStyle name="Normal 33 14 2 2" xfId="12648"/>
    <cellStyle name="Normal 33 14 3" xfId="12649"/>
    <cellStyle name="Normal 33 15" xfId="12650"/>
    <cellStyle name="Normal 33 15 2" xfId="12651"/>
    <cellStyle name="Normal 33 16" xfId="12652"/>
    <cellStyle name="Normal 33 2" xfId="12653"/>
    <cellStyle name="Normal 33 2 10" xfId="12654"/>
    <cellStyle name="Normal 33 2 10 2" xfId="12655"/>
    <cellStyle name="Normal 33 2 11" xfId="12656"/>
    <cellStyle name="Normal 33 2 2" xfId="12657"/>
    <cellStyle name="Normal 33 2 2 2" xfId="12658"/>
    <cellStyle name="Normal 33 2 2 2 2" xfId="12659"/>
    <cellStyle name="Normal 33 2 2 2 2 2" xfId="12660"/>
    <cellStyle name="Normal 33 2 2 2 2 2 2" xfId="12661"/>
    <cellStyle name="Normal 33 2 2 2 2 3" xfId="12662"/>
    <cellStyle name="Normal 33 2 2 2 3" xfId="12663"/>
    <cellStyle name="Normal 33 2 2 2 3 2" xfId="12664"/>
    <cellStyle name="Normal 33 2 2 2 3 2 2" xfId="12665"/>
    <cellStyle name="Normal 33 2 2 2 3 3" xfId="12666"/>
    <cellStyle name="Normal 33 2 2 2 4" xfId="12667"/>
    <cellStyle name="Normal 33 2 2 2 4 2" xfId="12668"/>
    <cellStyle name="Normal 33 2 2 2 5" xfId="12669"/>
    <cellStyle name="Normal 33 2 2 3" xfId="12670"/>
    <cellStyle name="Normal 33 2 2 3 2" xfId="12671"/>
    <cellStyle name="Normal 33 2 2 3 2 2" xfId="12672"/>
    <cellStyle name="Normal 33 2 2 3 2 2 2" xfId="12673"/>
    <cellStyle name="Normal 33 2 2 3 2 3" xfId="12674"/>
    <cellStyle name="Normal 33 2 2 3 3" xfId="12675"/>
    <cellStyle name="Normal 33 2 2 3 3 2" xfId="12676"/>
    <cellStyle name="Normal 33 2 2 3 3 2 2" xfId="12677"/>
    <cellStyle name="Normal 33 2 2 3 3 3" xfId="12678"/>
    <cellStyle name="Normal 33 2 2 3 4" xfId="12679"/>
    <cellStyle name="Normal 33 2 2 3 4 2" xfId="12680"/>
    <cellStyle name="Normal 33 2 2 3 5" xfId="12681"/>
    <cellStyle name="Normal 33 2 2 4" xfId="12682"/>
    <cellStyle name="Normal 33 2 2 4 2" xfId="12683"/>
    <cellStyle name="Normal 33 2 2 4 2 2" xfId="12684"/>
    <cellStyle name="Normal 33 2 2 4 2 2 2" xfId="12685"/>
    <cellStyle name="Normal 33 2 2 4 2 3" xfId="12686"/>
    <cellStyle name="Normal 33 2 2 4 3" xfId="12687"/>
    <cellStyle name="Normal 33 2 2 4 3 2" xfId="12688"/>
    <cellStyle name="Normal 33 2 2 4 3 2 2" xfId="12689"/>
    <cellStyle name="Normal 33 2 2 4 3 3" xfId="12690"/>
    <cellStyle name="Normal 33 2 2 4 4" xfId="12691"/>
    <cellStyle name="Normal 33 2 2 4 4 2" xfId="12692"/>
    <cellStyle name="Normal 33 2 2 4 5" xfId="12693"/>
    <cellStyle name="Normal 33 2 2 5" xfId="12694"/>
    <cellStyle name="Normal 33 2 2 5 2" xfId="12695"/>
    <cellStyle name="Normal 33 2 2 5 2 2" xfId="12696"/>
    <cellStyle name="Normal 33 2 2 5 3" xfId="12697"/>
    <cellStyle name="Normal 33 2 2 6" xfId="12698"/>
    <cellStyle name="Normal 33 2 2 6 2" xfId="12699"/>
    <cellStyle name="Normal 33 2 2 6 2 2" xfId="12700"/>
    <cellStyle name="Normal 33 2 2 6 3" xfId="12701"/>
    <cellStyle name="Normal 33 2 2 7" xfId="12702"/>
    <cellStyle name="Normal 33 2 2 7 2" xfId="12703"/>
    <cellStyle name="Normal 33 2 2 8" xfId="12704"/>
    <cellStyle name="Normal 33 2 3" xfId="12705"/>
    <cellStyle name="Normal 33 2 3 2" xfId="12706"/>
    <cellStyle name="Normal 33 2 3 3" xfId="12707"/>
    <cellStyle name="Normal 33 2 3 3 2" xfId="12708"/>
    <cellStyle name="Normal 33 2 3 3 2 2" xfId="12709"/>
    <cellStyle name="Normal 33 2 3 3 3" xfId="12710"/>
    <cellStyle name="Normal 33 2 3 4" xfId="12711"/>
    <cellStyle name="Normal 33 2 3 4 2" xfId="12712"/>
    <cellStyle name="Normal 33 2 3 4 2 2" xfId="12713"/>
    <cellStyle name="Normal 33 2 3 4 3" xfId="12714"/>
    <cellStyle name="Normal 33 2 3 5" xfId="12715"/>
    <cellStyle name="Normal 33 2 3 5 2" xfId="12716"/>
    <cellStyle name="Normal 33 2 3 6" xfId="12717"/>
    <cellStyle name="Normal 33 2 4" xfId="12718"/>
    <cellStyle name="Normal 33 2 4 2" xfId="12719"/>
    <cellStyle name="Normal 33 2 4 2 2" xfId="12720"/>
    <cellStyle name="Normal 33 2 4 2 2 2" xfId="12721"/>
    <cellStyle name="Normal 33 2 4 2 3" xfId="12722"/>
    <cellStyle name="Normal 33 2 4 3" xfId="12723"/>
    <cellStyle name="Normal 33 2 4 3 2" xfId="12724"/>
    <cellStyle name="Normal 33 2 4 3 2 2" xfId="12725"/>
    <cellStyle name="Normal 33 2 4 3 3" xfId="12726"/>
    <cellStyle name="Normal 33 2 4 4" xfId="12727"/>
    <cellStyle name="Normal 33 2 4 4 2" xfId="12728"/>
    <cellStyle name="Normal 33 2 4 5" xfId="12729"/>
    <cellStyle name="Normal 33 2 5" xfId="12730"/>
    <cellStyle name="Normal 33 2 5 2" xfId="12731"/>
    <cellStyle name="Normal 33 2 5 2 2" xfId="12732"/>
    <cellStyle name="Normal 33 2 5 2 2 2" xfId="12733"/>
    <cellStyle name="Normal 33 2 5 2 3" xfId="12734"/>
    <cellStyle name="Normal 33 2 5 3" xfId="12735"/>
    <cellStyle name="Normal 33 2 5 3 2" xfId="12736"/>
    <cellStyle name="Normal 33 2 5 3 2 2" xfId="12737"/>
    <cellStyle name="Normal 33 2 5 3 3" xfId="12738"/>
    <cellStyle name="Normal 33 2 5 4" xfId="12739"/>
    <cellStyle name="Normal 33 2 5 4 2" xfId="12740"/>
    <cellStyle name="Normal 33 2 5 5" xfId="12741"/>
    <cellStyle name="Normal 33 2 6" xfId="12742"/>
    <cellStyle name="Normal 33 2 6 2" xfId="12743"/>
    <cellStyle name="Normal 33 2 6 2 2" xfId="12744"/>
    <cellStyle name="Normal 33 2 6 3" xfId="12745"/>
    <cellStyle name="Normal 33 2 7" xfId="12746"/>
    <cellStyle name="Normal 33 2 7 2" xfId="12747"/>
    <cellStyle name="Normal 33 2 7 2 2" xfId="12748"/>
    <cellStyle name="Normal 33 2 7 3" xfId="12749"/>
    <cellStyle name="Normal 33 2 8" xfId="12750"/>
    <cellStyle name="Normal 33 2 8 2" xfId="12751"/>
    <cellStyle name="Normal 33 2 8 2 2" xfId="12752"/>
    <cellStyle name="Normal 33 2 8 3" xfId="12753"/>
    <cellStyle name="Normal 33 2 9" xfId="12754"/>
    <cellStyle name="Normal 33 2 9 2" xfId="12755"/>
    <cellStyle name="Normal 33 2 9 2 2" xfId="12756"/>
    <cellStyle name="Normal 33 2 9 3" xfId="12757"/>
    <cellStyle name="Normal 33 3" xfId="12758"/>
    <cellStyle name="Normal 33 3 10" xfId="12759"/>
    <cellStyle name="Normal 33 3 10 2" xfId="12760"/>
    <cellStyle name="Normal 33 3 11" xfId="12761"/>
    <cellStyle name="Normal 33 3 2" xfId="12762"/>
    <cellStyle name="Normal 33 3 2 2" xfId="12763"/>
    <cellStyle name="Normal 33 3 2 2 2" xfId="12764"/>
    <cellStyle name="Normal 33 3 2 2 2 2" xfId="12765"/>
    <cellStyle name="Normal 33 3 2 2 2 2 2" xfId="12766"/>
    <cellStyle name="Normal 33 3 2 2 2 3" xfId="12767"/>
    <cellStyle name="Normal 33 3 2 2 3" xfId="12768"/>
    <cellStyle name="Normal 33 3 2 2 3 2" xfId="12769"/>
    <cellStyle name="Normal 33 3 2 2 3 2 2" xfId="12770"/>
    <cellStyle name="Normal 33 3 2 2 3 3" xfId="12771"/>
    <cellStyle name="Normal 33 3 2 2 4" xfId="12772"/>
    <cellStyle name="Normal 33 3 2 2 4 2" xfId="12773"/>
    <cellStyle name="Normal 33 3 2 2 5" xfId="12774"/>
    <cellStyle name="Normal 33 3 2 3" xfId="12775"/>
    <cellStyle name="Normal 33 3 2 3 2" xfId="12776"/>
    <cellStyle name="Normal 33 3 2 3 2 2" xfId="12777"/>
    <cellStyle name="Normal 33 3 2 3 2 2 2" xfId="12778"/>
    <cellStyle name="Normal 33 3 2 3 2 3" xfId="12779"/>
    <cellStyle name="Normal 33 3 2 3 3" xfId="12780"/>
    <cellStyle name="Normal 33 3 2 3 3 2" xfId="12781"/>
    <cellStyle name="Normal 33 3 2 3 3 2 2" xfId="12782"/>
    <cellStyle name="Normal 33 3 2 3 3 3" xfId="12783"/>
    <cellStyle name="Normal 33 3 2 3 4" xfId="12784"/>
    <cellStyle name="Normal 33 3 2 3 4 2" xfId="12785"/>
    <cellStyle name="Normal 33 3 2 3 5" xfId="12786"/>
    <cellStyle name="Normal 33 3 2 4" xfId="12787"/>
    <cellStyle name="Normal 33 3 2 4 2" xfId="12788"/>
    <cellStyle name="Normal 33 3 2 4 2 2" xfId="12789"/>
    <cellStyle name="Normal 33 3 2 4 2 2 2" xfId="12790"/>
    <cellStyle name="Normal 33 3 2 4 2 3" xfId="12791"/>
    <cellStyle name="Normal 33 3 2 4 3" xfId="12792"/>
    <cellStyle name="Normal 33 3 2 4 3 2" xfId="12793"/>
    <cellStyle name="Normal 33 3 2 4 3 2 2" xfId="12794"/>
    <cellStyle name="Normal 33 3 2 4 3 3" xfId="12795"/>
    <cellStyle name="Normal 33 3 2 4 4" xfId="12796"/>
    <cellStyle name="Normal 33 3 2 4 4 2" xfId="12797"/>
    <cellStyle name="Normal 33 3 2 4 5" xfId="12798"/>
    <cellStyle name="Normal 33 3 2 5" xfId="12799"/>
    <cellStyle name="Normal 33 3 2 5 2" xfId="12800"/>
    <cellStyle name="Normal 33 3 2 5 2 2" xfId="12801"/>
    <cellStyle name="Normal 33 3 2 5 3" xfId="12802"/>
    <cellStyle name="Normal 33 3 2 6" xfId="12803"/>
    <cellStyle name="Normal 33 3 2 6 2" xfId="12804"/>
    <cellStyle name="Normal 33 3 2 6 2 2" xfId="12805"/>
    <cellStyle name="Normal 33 3 2 6 3" xfId="12806"/>
    <cellStyle name="Normal 33 3 2 7" xfId="12807"/>
    <cellStyle name="Normal 33 3 2 7 2" xfId="12808"/>
    <cellStyle name="Normal 33 3 2 8" xfId="12809"/>
    <cellStyle name="Normal 33 3 3" xfId="12810"/>
    <cellStyle name="Normal 33 3 3 2" xfId="12811"/>
    <cellStyle name="Normal 33 3 3 3" xfId="12812"/>
    <cellStyle name="Normal 33 3 3 3 2" xfId="12813"/>
    <cellStyle name="Normal 33 3 3 3 2 2" xfId="12814"/>
    <cellStyle name="Normal 33 3 3 3 3" xfId="12815"/>
    <cellStyle name="Normal 33 3 3 4" xfId="12816"/>
    <cellStyle name="Normal 33 3 3 4 2" xfId="12817"/>
    <cellStyle name="Normal 33 3 3 4 2 2" xfId="12818"/>
    <cellStyle name="Normal 33 3 3 4 3" xfId="12819"/>
    <cellStyle name="Normal 33 3 3 5" xfId="12820"/>
    <cellStyle name="Normal 33 3 3 5 2" xfId="12821"/>
    <cellStyle name="Normal 33 3 3 6" xfId="12822"/>
    <cellStyle name="Normal 33 3 4" xfId="12823"/>
    <cellStyle name="Normal 33 3 4 2" xfId="12824"/>
    <cellStyle name="Normal 33 3 4 2 2" xfId="12825"/>
    <cellStyle name="Normal 33 3 4 2 2 2" xfId="12826"/>
    <cellStyle name="Normal 33 3 4 2 3" xfId="12827"/>
    <cellStyle name="Normal 33 3 4 3" xfId="12828"/>
    <cellStyle name="Normal 33 3 4 3 2" xfId="12829"/>
    <cellStyle name="Normal 33 3 4 3 2 2" xfId="12830"/>
    <cellStyle name="Normal 33 3 4 3 3" xfId="12831"/>
    <cellStyle name="Normal 33 3 4 4" xfId="12832"/>
    <cellStyle name="Normal 33 3 4 4 2" xfId="12833"/>
    <cellStyle name="Normal 33 3 4 5" xfId="12834"/>
    <cellStyle name="Normal 33 3 5" xfId="12835"/>
    <cellStyle name="Normal 33 3 5 2" xfId="12836"/>
    <cellStyle name="Normal 33 3 5 2 2" xfId="12837"/>
    <cellStyle name="Normal 33 3 5 2 2 2" xfId="12838"/>
    <cellStyle name="Normal 33 3 5 2 3" xfId="12839"/>
    <cellStyle name="Normal 33 3 5 3" xfId="12840"/>
    <cellStyle name="Normal 33 3 5 3 2" xfId="12841"/>
    <cellStyle name="Normal 33 3 5 3 2 2" xfId="12842"/>
    <cellStyle name="Normal 33 3 5 3 3" xfId="12843"/>
    <cellStyle name="Normal 33 3 5 4" xfId="12844"/>
    <cellStyle name="Normal 33 3 5 4 2" xfId="12845"/>
    <cellStyle name="Normal 33 3 5 5" xfId="12846"/>
    <cellStyle name="Normal 33 3 6" xfId="12847"/>
    <cellStyle name="Normal 33 3 6 2" xfId="12848"/>
    <cellStyle name="Normal 33 3 6 2 2" xfId="12849"/>
    <cellStyle name="Normal 33 3 6 3" xfId="12850"/>
    <cellStyle name="Normal 33 3 7" xfId="12851"/>
    <cellStyle name="Normal 33 3 7 2" xfId="12852"/>
    <cellStyle name="Normal 33 3 7 2 2" xfId="12853"/>
    <cellStyle name="Normal 33 3 7 3" xfId="12854"/>
    <cellStyle name="Normal 33 3 8" xfId="12855"/>
    <cellStyle name="Normal 33 3 8 2" xfId="12856"/>
    <cellStyle name="Normal 33 3 8 2 2" xfId="12857"/>
    <cellStyle name="Normal 33 3 8 3" xfId="12858"/>
    <cellStyle name="Normal 33 3 9" xfId="12859"/>
    <cellStyle name="Normal 33 3 9 2" xfId="12860"/>
    <cellStyle name="Normal 33 3 9 2 2" xfId="12861"/>
    <cellStyle name="Normal 33 3 9 3" xfId="12862"/>
    <cellStyle name="Normal 33 4" xfId="12863"/>
    <cellStyle name="Normal 33 4 2" xfId="12864"/>
    <cellStyle name="Normal 33 4 2 2" xfId="12865"/>
    <cellStyle name="Normal 33 4 2 3" xfId="12866"/>
    <cellStyle name="Normal 33 4 2 3 2" xfId="12867"/>
    <cellStyle name="Normal 33 4 2 3 2 2" xfId="12868"/>
    <cellStyle name="Normal 33 4 2 3 3" xfId="12869"/>
    <cellStyle name="Normal 33 4 2 4" xfId="12870"/>
    <cellStyle name="Normal 33 4 2 4 2" xfId="12871"/>
    <cellStyle name="Normal 33 4 2 4 2 2" xfId="12872"/>
    <cellStyle name="Normal 33 4 2 4 3" xfId="12873"/>
    <cellStyle name="Normal 33 4 2 5" xfId="12874"/>
    <cellStyle name="Normal 33 4 2 5 2" xfId="12875"/>
    <cellStyle name="Normal 33 4 2 6" xfId="12876"/>
    <cellStyle name="Normal 33 4 3" xfId="12877"/>
    <cellStyle name="Normal 33 4 3 2" xfId="12878"/>
    <cellStyle name="Normal 33 4 3 2 2" xfId="12879"/>
    <cellStyle name="Normal 33 4 3 2 2 2" xfId="12880"/>
    <cellStyle name="Normal 33 4 3 2 3" xfId="12881"/>
    <cellStyle name="Normal 33 4 3 3" xfId="12882"/>
    <cellStyle name="Normal 33 4 3 3 2" xfId="12883"/>
    <cellStyle name="Normal 33 4 3 3 2 2" xfId="12884"/>
    <cellStyle name="Normal 33 4 3 3 3" xfId="12885"/>
    <cellStyle name="Normal 33 4 3 4" xfId="12886"/>
    <cellStyle name="Normal 33 4 3 4 2" xfId="12887"/>
    <cellStyle name="Normal 33 4 3 5" xfId="12888"/>
    <cellStyle name="Normal 33 4 4" xfId="12889"/>
    <cellStyle name="Normal 33 4 4 2" xfId="12890"/>
    <cellStyle name="Normal 33 4 4 2 2" xfId="12891"/>
    <cellStyle name="Normal 33 4 4 2 2 2" xfId="12892"/>
    <cellStyle name="Normal 33 4 4 2 3" xfId="12893"/>
    <cellStyle name="Normal 33 4 4 3" xfId="12894"/>
    <cellStyle name="Normal 33 4 4 3 2" xfId="12895"/>
    <cellStyle name="Normal 33 4 4 3 2 2" xfId="12896"/>
    <cellStyle name="Normal 33 4 4 3 3" xfId="12897"/>
    <cellStyle name="Normal 33 4 4 4" xfId="12898"/>
    <cellStyle name="Normal 33 4 4 4 2" xfId="12899"/>
    <cellStyle name="Normal 33 4 4 5" xfId="12900"/>
    <cellStyle name="Normal 33 4 5" xfId="12901"/>
    <cellStyle name="Normal 33 4 5 2" xfId="12902"/>
    <cellStyle name="Normal 33 4 5 2 2" xfId="12903"/>
    <cellStyle name="Normal 33 4 5 3" xfId="12904"/>
    <cellStyle name="Normal 33 4 6" xfId="12905"/>
    <cellStyle name="Normal 33 4 6 2" xfId="12906"/>
    <cellStyle name="Normal 33 4 6 2 2" xfId="12907"/>
    <cellStyle name="Normal 33 4 6 3" xfId="12908"/>
    <cellStyle name="Normal 33 4 7" xfId="12909"/>
    <cellStyle name="Normal 33 4 7 2" xfId="12910"/>
    <cellStyle name="Normal 33 4 8" xfId="12911"/>
    <cellStyle name="Normal 33 5" xfId="12912"/>
    <cellStyle name="Normal 33 5 2" xfId="12913"/>
    <cellStyle name="Normal 33 5 3" xfId="12914"/>
    <cellStyle name="Normal 33 5 3 2" xfId="12915"/>
    <cellStyle name="Normal 33 5 3 2 2" xfId="12916"/>
    <cellStyle name="Normal 33 5 3 3" xfId="12917"/>
    <cellStyle name="Normal 33 5 4" xfId="12918"/>
    <cellStyle name="Normal 33 5 4 2" xfId="12919"/>
    <cellStyle name="Normal 33 5 4 2 2" xfId="12920"/>
    <cellStyle name="Normal 33 5 4 3" xfId="12921"/>
    <cellStyle name="Normal 33 5 5" xfId="12922"/>
    <cellStyle name="Normal 33 5 5 2" xfId="12923"/>
    <cellStyle name="Normal 33 5 6" xfId="12924"/>
    <cellStyle name="Normal 33 6" xfId="12925"/>
    <cellStyle name="Normal 33 6 2" xfId="12926"/>
    <cellStyle name="Normal 33 6 3" xfId="12927"/>
    <cellStyle name="Normal 33 6 3 2" xfId="12928"/>
    <cellStyle name="Normal 33 6 3 2 2" xfId="12929"/>
    <cellStyle name="Normal 33 6 3 3" xfId="12930"/>
    <cellStyle name="Normal 33 6 4" xfId="12931"/>
    <cellStyle name="Normal 33 6 4 2" xfId="12932"/>
    <cellStyle name="Normal 33 6 4 2 2" xfId="12933"/>
    <cellStyle name="Normal 33 6 4 3" xfId="12934"/>
    <cellStyle name="Normal 33 6 5" xfId="12935"/>
    <cellStyle name="Normal 33 6 5 2" xfId="12936"/>
    <cellStyle name="Normal 33 6 6" xfId="12937"/>
    <cellStyle name="Normal 33 7" xfId="12938"/>
    <cellStyle name="Normal 33 8" xfId="12939"/>
    <cellStyle name="Normal 33 9" xfId="12940"/>
    <cellStyle name="Normal 34" xfId="12941"/>
    <cellStyle name="Normal 34 10" xfId="12942"/>
    <cellStyle name="Normal 34 10 2" xfId="12943"/>
    <cellStyle name="Normal 34 10 2 2" xfId="12944"/>
    <cellStyle name="Normal 34 10 3" xfId="12945"/>
    <cellStyle name="Normal 34 11" xfId="12946"/>
    <cellStyle name="Normal 34 11 2" xfId="12947"/>
    <cellStyle name="Normal 34 12" xfId="12948"/>
    <cellStyle name="Normal 34 2" xfId="12949"/>
    <cellStyle name="Normal 34 2 10" xfId="12950"/>
    <cellStyle name="Normal 34 2 10 2" xfId="12951"/>
    <cellStyle name="Normal 34 2 11" xfId="12952"/>
    <cellStyle name="Normal 34 2 2" xfId="12953"/>
    <cellStyle name="Normal 34 2 2 2" xfId="12954"/>
    <cellStyle name="Normal 34 2 2 2 2" xfId="12955"/>
    <cellStyle name="Normal 34 2 2 2 2 2" xfId="12956"/>
    <cellStyle name="Normal 34 2 2 2 2 2 2" xfId="12957"/>
    <cellStyle name="Normal 34 2 2 2 2 3" xfId="12958"/>
    <cellStyle name="Normal 34 2 2 2 3" xfId="12959"/>
    <cellStyle name="Normal 34 2 2 2 3 2" xfId="12960"/>
    <cellStyle name="Normal 34 2 2 2 3 2 2" xfId="12961"/>
    <cellStyle name="Normal 34 2 2 2 3 3" xfId="12962"/>
    <cellStyle name="Normal 34 2 2 2 4" xfId="12963"/>
    <cellStyle name="Normal 34 2 2 2 4 2" xfId="12964"/>
    <cellStyle name="Normal 34 2 2 2 5" xfId="12965"/>
    <cellStyle name="Normal 34 2 2 3" xfId="12966"/>
    <cellStyle name="Normal 34 2 2 3 2" xfId="12967"/>
    <cellStyle name="Normal 34 2 2 3 2 2" xfId="12968"/>
    <cellStyle name="Normal 34 2 2 3 2 2 2" xfId="12969"/>
    <cellStyle name="Normal 34 2 2 3 2 3" xfId="12970"/>
    <cellStyle name="Normal 34 2 2 3 3" xfId="12971"/>
    <cellStyle name="Normal 34 2 2 3 3 2" xfId="12972"/>
    <cellStyle name="Normal 34 2 2 3 3 2 2" xfId="12973"/>
    <cellStyle name="Normal 34 2 2 3 3 3" xfId="12974"/>
    <cellStyle name="Normal 34 2 2 3 4" xfId="12975"/>
    <cellStyle name="Normal 34 2 2 3 4 2" xfId="12976"/>
    <cellStyle name="Normal 34 2 2 3 5" xfId="12977"/>
    <cellStyle name="Normal 34 2 2 4" xfId="12978"/>
    <cellStyle name="Normal 34 2 2 4 2" xfId="12979"/>
    <cellStyle name="Normal 34 2 2 4 2 2" xfId="12980"/>
    <cellStyle name="Normal 34 2 2 4 2 2 2" xfId="12981"/>
    <cellStyle name="Normal 34 2 2 4 2 3" xfId="12982"/>
    <cellStyle name="Normal 34 2 2 4 3" xfId="12983"/>
    <cellStyle name="Normal 34 2 2 4 3 2" xfId="12984"/>
    <cellStyle name="Normal 34 2 2 4 3 2 2" xfId="12985"/>
    <cellStyle name="Normal 34 2 2 4 3 3" xfId="12986"/>
    <cellStyle name="Normal 34 2 2 4 4" xfId="12987"/>
    <cellStyle name="Normal 34 2 2 4 4 2" xfId="12988"/>
    <cellStyle name="Normal 34 2 2 4 5" xfId="12989"/>
    <cellStyle name="Normal 34 2 2 5" xfId="12990"/>
    <cellStyle name="Normal 34 2 2 5 2" xfId="12991"/>
    <cellStyle name="Normal 34 2 2 5 2 2" xfId="12992"/>
    <cellStyle name="Normal 34 2 2 5 3" xfId="12993"/>
    <cellStyle name="Normal 34 2 2 6" xfId="12994"/>
    <cellStyle name="Normal 34 2 2 6 2" xfId="12995"/>
    <cellStyle name="Normal 34 2 2 6 2 2" xfId="12996"/>
    <cellStyle name="Normal 34 2 2 6 3" xfId="12997"/>
    <cellStyle name="Normal 34 2 2 7" xfId="12998"/>
    <cellStyle name="Normal 34 2 2 7 2" xfId="12999"/>
    <cellStyle name="Normal 34 2 2 8" xfId="13000"/>
    <cellStyle name="Normal 34 2 3" xfId="13001"/>
    <cellStyle name="Normal 34 2 3 2" xfId="13002"/>
    <cellStyle name="Normal 34 2 3 2 2" xfId="13003"/>
    <cellStyle name="Normal 34 2 3 2 2 2" xfId="13004"/>
    <cellStyle name="Normal 34 2 3 2 3" xfId="13005"/>
    <cellStyle name="Normal 34 2 3 3" xfId="13006"/>
    <cellStyle name="Normal 34 2 3 3 2" xfId="13007"/>
    <cellStyle name="Normal 34 2 3 3 2 2" xfId="13008"/>
    <cellStyle name="Normal 34 2 3 3 3" xfId="13009"/>
    <cellStyle name="Normal 34 2 3 4" xfId="13010"/>
    <cellStyle name="Normal 34 2 3 4 2" xfId="13011"/>
    <cellStyle name="Normal 34 2 3 5" xfId="13012"/>
    <cellStyle name="Normal 34 2 4" xfId="13013"/>
    <cellStyle name="Normal 34 2 4 2" xfId="13014"/>
    <cellStyle name="Normal 34 2 4 2 2" xfId="13015"/>
    <cellStyle name="Normal 34 2 4 2 2 2" xfId="13016"/>
    <cellStyle name="Normal 34 2 4 2 3" xfId="13017"/>
    <cellStyle name="Normal 34 2 4 3" xfId="13018"/>
    <cellStyle name="Normal 34 2 4 3 2" xfId="13019"/>
    <cellStyle name="Normal 34 2 4 3 2 2" xfId="13020"/>
    <cellStyle name="Normal 34 2 4 3 3" xfId="13021"/>
    <cellStyle name="Normal 34 2 4 4" xfId="13022"/>
    <cellStyle name="Normal 34 2 4 4 2" xfId="13023"/>
    <cellStyle name="Normal 34 2 4 5" xfId="13024"/>
    <cellStyle name="Normal 34 2 5" xfId="13025"/>
    <cellStyle name="Normal 34 2 5 2" xfId="13026"/>
    <cellStyle name="Normal 34 2 5 2 2" xfId="13027"/>
    <cellStyle name="Normal 34 2 5 2 2 2" xfId="13028"/>
    <cellStyle name="Normal 34 2 5 2 3" xfId="13029"/>
    <cellStyle name="Normal 34 2 5 3" xfId="13030"/>
    <cellStyle name="Normal 34 2 5 3 2" xfId="13031"/>
    <cellStyle name="Normal 34 2 5 3 2 2" xfId="13032"/>
    <cellStyle name="Normal 34 2 5 3 3" xfId="13033"/>
    <cellStyle name="Normal 34 2 5 4" xfId="13034"/>
    <cellStyle name="Normal 34 2 5 4 2" xfId="13035"/>
    <cellStyle name="Normal 34 2 5 5" xfId="13036"/>
    <cellStyle name="Normal 34 2 6" xfId="13037"/>
    <cellStyle name="Normal 34 2 6 2" xfId="13038"/>
    <cellStyle name="Normal 34 2 6 2 2" xfId="13039"/>
    <cellStyle name="Normal 34 2 6 3" xfId="13040"/>
    <cellStyle name="Normal 34 2 7" xfId="13041"/>
    <cellStyle name="Normal 34 2 7 2" xfId="13042"/>
    <cellStyle name="Normal 34 2 7 2 2" xfId="13043"/>
    <cellStyle name="Normal 34 2 7 3" xfId="13044"/>
    <cellStyle name="Normal 34 2 8" xfId="13045"/>
    <cellStyle name="Normal 34 2 8 2" xfId="13046"/>
    <cellStyle name="Normal 34 2 8 2 2" xfId="13047"/>
    <cellStyle name="Normal 34 2 8 3" xfId="13048"/>
    <cellStyle name="Normal 34 2 9" xfId="13049"/>
    <cellStyle name="Normal 34 2 9 2" xfId="13050"/>
    <cellStyle name="Normal 34 2 9 2 2" xfId="13051"/>
    <cellStyle name="Normal 34 2 9 3" xfId="13052"/>
    <cellStyle name="Normal 34 3" xfId="13053"/>
    <cellStyle name="Normal 34 3 10" xfId="13054"/>
    <cellStyle name="Normal 34 3 10 2" xfId="13055"/>
    <cellStyle name="Normal 34 3 11" xfId="13056"/>
    <cellStyle name="Normal 34 3 2" xfId="13057"/>
    <cellStyle name="Normal 34 3 2 2" xfId="13058"/>
    <cellStyle name="Normal 34 3 2 2 2" xfId="13059"/>
    <cellStyle name="Normal 34 3 2 2 2 2" xfId="13060"/>
    <cellStyle name="Normal 34 3 2 2 2 2 2" xfId="13061"/>
    <cellStyle name="Normal 34 3 2 2 2 3" xfId="13062"/>
    <cellStyle name="Normal 34 3 2 2 3" xfId="13063"/>
    <cellStyle name="Normal 34 3 2 2 3 2" xfId="13064"/>
    <cellStyle name="Normal 34 3 2 2 3 2 2" xfId="13065"/>
    <cellStyle name="Normal 34 3 2 2 3 3" xfId="13066"/>
    <cellStyle name="Normal 34 3 2 2 4" xfId="13067"/>
    <cellStyle name="Normal 34 3 2 2 4 2" xfId="13068"/>
    <cellStyle name="Normal 34 3 2 2 5" xfId="13069"/>
    <cellStyle name="Normal 34 3 2 3" xfId="13070"/>
    <cellStyle name="Normal 34 3 2 3 2" xfId="13071"/>
    <cellStyle name="Normal 34 3 2 3 2 2" xfId="13072"/>
    <cellStyle name="Normal 34 3 2 3 2 2 2" xfId="13073"/>
    <cellStyle name="Normal 34 3 2 3 2 3" xfId="13074"/>
    <cellStyle name="Normal 34 3 2 3 3" xfId="13075"/>
    <cellStyle name="Normal 34 3 2 3 3 2" xfId="13076"/>
    <cellStyle name="Normal 34 3 2 3 3 2 2" xfId="13077"/>
    <cellStyle name="Normal 34 3 2 3 3 3" xfId="13078"/>
    <cellStyle name="Normal 34 3 2 3 4" xfId="13079"/>
    <cellStyle name="Normal 34 3 2 3 4 2" xfId="13080"/>
    <cellStyle name="Normal 34 3 2 3 5" xfId="13081"/>
    <cellStyle name="Normal 34 3 2 4" xfId="13082"/>
    <cellStyle name="Normal 34 3 2 4 2" xfId="13083"/>
    <cellStyle name="Normal 34 3 2 4 2 2" xfId="13084"/>
    <cellStyle name="Normal 34 3 2 4 2 2 2" xfId="13085"/>
    <cellStyle name="Normal 34 3 2 4 2 3" xfId="13086"/>
    <cellStyle name="Normal 34 3 2 4 3" xfId="13087"/>
    <cellStyle name="Normal 34 3 2 4 3 2" xfId="13088"/>
    <cellStyle name="Normal 34 3 2 4 3 2 2" xfId="13089"/>
    <cellStyle name="Normal 34 3 2 4 3 3" xfId="13090"/>
    <cellStyle name="Normal 34 3 2 4 4" xfId="13091"/>
    <cellStyle name="Normal 34 3 2 4 4 2" xfId="13092"/>
    <cellStyle name="Normal 34 3 2 4 5" xfId="13093"/>
    <cellStyle name="Normal 34 3 2 5" xfId="13094"/>
    <cellStyle name="Normal 34 3 2 5 2" xfId="13095"/>
    <cellStyle name="Normal 34 3 2 5 2 2" xfId="13096"/>
    <cellStyle name="Normal 34 3 2 5 3" xfId="13097"/>
    <cellStyle name="Normal 34 3 2 6" xfId="13098"/>
    <cellStyle name="Normal 34 3 2 6 2" xfId="13099"/>
    <cellStyle name="Normal 34 3 2 6 2 2" xfId="13100"/>
    <cellStyle name="Normal 34 3 2 6 3" xfId="13101"/>
    <cellStyle name="Normal 34 3 2 7" xfId="13102"/>
    <cellStyle name="Normal 34 3 2 7 2" xfId="13103"/>
    <cellStyle name="Normal 34 3 2 8" xfId="13104"/>
    <cellStyle name="Normal 34 3 3" xfId="13105"/>
    <cellStyle name="Normal 34 3 3 2" xfId="13106"/>
    <cellStyle name="Normal 34 3 3 2 2" xfId="13107"/>
    <cellStyle name="Normal 34 3 3 2 2 2" xfId="13108"/>
    <cellStyle name="Normal 34 3 3 2 3" xfId="13109"/>
    <cellStyle name="Normal 34 3 3 3" xfId="13110"/>
    <cellStyle name="Normal 34 3 3 3 2" xfId="13111"/>
    <cellStyle name="Normal 34 3 3 3 2 2" xfId="13112"/>
    <cellStyle name="Normal 34 3 3 3 3" xfId="13113"/>
    <cellStyle name="Normal 34 3 3 4" xfId="13114"/>
    <cellStyle name="Normal 34 3 3 4 2" xfId="13115"/>
    <cellStyle name="Normal 34 3 3 5" xfId="13116"/>
    <cellStyle name="Normal 34 3 4" xfId="13117"/>
    <cellStyle name="Normal 34 3 4 2" xfId="13118"/>
    <cellStyle name="Normal 34 3 4 2 2" xfId="13119"/>
    <cellStyle name="Normal 34 3 4 2 2 2" xfId="13120"/>
    <cellStyle name="Normal 34 3 4 2 3" xfId="13121"/>
    <cellStyle name="Normal 34 3 4 3" xfId="13122"/>
    <cellStyle name="Normal 34 3 4 3 2" xfId="13123"/>
    <cellStyle name="Normal 34 3 4 3 2 2" xfId="13124"/>
    <cellStyle name="Normal 34 3 4 3 3" xfId="13125"/>
    <cellStyle name="Normal 34 3 4 4" xfId="13126"/>
    <cellStyle name="Normal 34 3 4 4 2" xfId="13127"/>
    <cellStyle name="Normal 34 3 4 5" xfId="13128"/>
    <cellStyle name="Normal 34 3 5" xfId="13129"/>
    <cellStyle name="Normal 34 3 5 2" xfId="13130"/>
    <cellStyle name="Normal 34 3 5 2 2" xfId="13131"/>
    <cellStyle name="Normal 34 3 5 2 2 2" xfId="13132"/>
    <cellStyle name="Normal 34 3 5 2 3" xfId="13133"/>
    <cellStyle name="Normal 34 3 5 3" xfId="13134"/>
    <cellStyle name="Normal 34 3 5 3 2" xfId="13135"/>
    <cellStyle name="Normal 34 3 5 3 2 2" xfId="13136"/>
    <cellStyle name="Normal 34 3 5 3 3" xfId="13137"/>
    <cellStyle name="Normal 34 3 5 4" xfId="13138"/>
    <cellStyle name="Normal 34 3 5 4 2" xfId="13139"/>
    <cellStyle name="Normal 34 3 5 5" xfId="13140"/>
    <cellStyle name="Normal 34 3 6" xfId="13141"/>
    <cellStyle name="Normal 34 3 6 2" xfId="13142"/>
    <cellStyle name="Normal 34 3 6 2 2" xfId="13143"/>
    <cellStyle name="Normal 34 3 6 3" xfId="13144"/>
    <cellStyle name="Normal 34 3 7" xfId="13145"/>
    <cellStyle name="Normal 34 3 7 2" xfId="13146"/>
    <cellStyle name="Normal 34 3 7 2 2" xfId="13147"/>
    <cellStyle name="Normal 34 3 7 3" xfId="13148"/>
    <cellStyle name="Normal 34 3 8" xfId="13149"/>
    <cellStyle name="Normal 34 3 8 2" xfId="13150"/>
    <cellStyle name="Normal 34 3 8 2 2" xfId="13151"/>
    <cellStyle name="Normal 34 3 8 3" xfId="13152"/>
    <cellStyle name="Normal 34 3 9" xfId="13153"/>
    <cellStyle name="Normal 34 3 9 2" xfId="13154"/>
    <cellStyle name="Normal 34 3 9 2 2" xfId="13155"/>
    <cellStyle name="Normal 34 3 9 3" xfId="13156"/>
    <cellStyle name="Normal 34 4" xfId="13157"/>
    <cellStyle name="Normal 34 4 2" xfId="13158"/>
    <cellStyle name="Normal 34 4 2 2" xfId="13159"/>
    <cellStyle name="Normal 34 4 2 2 2" xfId="13160"/>
    <cellStyle name="Normal 34 4 2 2 2 2" xfId="13161"/>
    <cellStyle name="Normal 34 4 2 2 3" xfId="13162"/>
    <cellStyle name="Normal 34 4 2 3" xfId="13163"/>
    <cellStyle name="Normal 34 4 2 3 2" xfId="13164"/>
    <cellStyle name="Normal 34 4 2 3 2 2" xfId="13165"/>
    <cellStyle name="Normal 34 4 2 3 3" xfId="13166"/>
    <cellStyle name="Normal 34 4 2 4" xfId="13167"/>
    <cellStyle name="Normal 34 4 2 4 2" xfId="13168"/>
    <cellStyle name="Normal 34 4 2 5" xfId="13169"/>
    <cellStyle name="Normal 34 4 3" xfId="13170"/>
    <cellStyle name="Normal 34 4 3 2" xfId="13171"/>
    <cellStyle name="Normal 34 4 3 2 2" xfId="13172"/>
    <cellStyle name="Normal 34 4 3 2 2 2" xfId="13173"/>
    <cellStyle name="Normal 34 4 3 2 3" xfId="13174"/>
    <cellStyle name="Normal 34 4 3 3" xfId="13175"/>
    <cellStyle name="Normal 34 4 3 3 2" xfId="13176"/>
    <cellStyle name="Normal 34 4 3 3 2 2" xfId="13177"/>
    <cellStyle name="Normal 34 4 3 3 3" xfId="13178"/>
    <cellStyle name="Normal 34 4 3 4" xfId="13179"/>
    <cellStyle name="Normal 34 4 3 4 2" xfId="13180"/>
    <cellStyle name="Normal 34 4 3 5" xfId="13181"/>
    <cellStyle name="Normal 34 4 4" xfId="13182"/>
    <cellStyle name="Normal 34 4 4 2" xfId="13183"/>
    <cellStyle name="Normal 34 4 4 2 2" xfId="13184"/>
    <cellStyle name="Normal 34 4 4 2 2 2" xfId="13185"/>
    <cellStyle name="Normal 34 4 4 2 3" xfId="13186"/>
    <cellStyle name="Normal 34 4 4 3" xfId="13187"/>
    <cellStyle name="Normal 34 4 4 3 2" xfId="13188"/>
    <cellStyle name="Normal 34 4 4 3 2 2" xfId="13189"/>
    <cellStyle name="Normal 34 4 4 3 3" xfId="13190"/>
    <cellStyle name="Normal 34 4 4 4" xfId="13191"/>
    <cellStyle name="Normal 34 4 4 4 2" xfId="13192"/>
    <cellStyle name="Normal 34 4 4 5" xfId="13193"/>
    <cellStyle name="Normal 34 4 5" xfId="13194"/>
    <cellStyle name="Normal 34 4 5 2" xfId="13195"/>
    <cellStyle name="Normal 34 4 5 2 2" xfId="13196"/>
    <cellStyle name="Normal 34 4 5 3" xfId="13197"/>
    <cellStyle name="Normal 34 4 6" xfId="13198"/>
    <cellStyle name="Normal 34 4 6 2" xfId="13199"/>
    <cellStyle name="Normal 34 4 6 2 2" xfId="13200"/>
    <cellStyle name="Normal 34 4 6 3" xfId="13201"/>
    <cellStyle name="Normal 34 4 7" xfId="13202"/>
    <cellStyle name="Normal 34 4 7 2" xfId="13203"/>
    <cellStyle name="Normal 34 4 8" xfId="13204"/>
    <cellStyle name="Normal 34 5" xfId="13205"/>
    <cellStyle name="Normal 34 5 2" xfId="13206"/>
    <cellStyle name="Normal 34 5 3" xfId="13207"/>
    <cellStyle name="Normal 34 5 3 2" xfId="13208"/>
    <cellStyle name="Normal 34 5 3 2 2" xfId="13209"/>
    <cellStyle name="Normal 34 5 3 3" xfId="13210"/>
    <cellStyle name="Normal 34 5 4" xfId="13211"/>
    <cellStyle name="Normal 34 5 4 2" xfId="13212"/>
    <cellStyle name="Normal 34 5 4 2 2" xfId="13213"/>
    <cellStyle name="Normal 34 5 4 3" xfId="13214"/>
    <cellStyle name="Normal 34 5 5" xfId="13215"/>
    <cellStyle name="Normal 34 5 5 2" xfId="13216"/>
    <cellStyle name="Normal 34 5 6" xfId="13217"/>
    <cellStyle name="Normal 34 6" xfId="13218"/>
    <cellStyle name="Normal 34 6 2" xfId="13219"/>
    <cellStyle name="Normal 34 6 2 2" xfId="13220"/>
    <cellStyle name="Normal 34 6 2 2 2" xfId="13221"/>
    <cellStyle name="Normal 34 6 2 3" xfId="13222"/>
    <cellStyle name="Normal 34 6 3" xfId="13223"/>
    <cellStyle name="Normal 34 6 3 2" xfId="13224"/>
    <cellStyle name="Normal 34 6 3 2 2" xfId="13225"/>
    <cellStyle name="Normal 34 6 3 3" xfId="13226"/>
    <cellStyle name="Normal 34 6 4" xfId="13227"/>
    <cellStyle name="Normal 34 6 4 2" xfId="13228"/>
    <cellStyle name="Normal 34 6 5" xfId="13229"/>
    <cellStyle name="Normal 34 7" xfId="13230"/>
    <cellStyle name="Normal 34 7 2" xfId="13231"/>
    <cellStyle name="Normal 34 7 2 2" xfId="13232"/>
    <cellStyle name="Normal 34 7 2 2 2" xfId="13233"/>
    <cellStyle name="Normal 34 7 2 3" xfId="13234"/>
    <cellStyle name="Normal 34 7 3" xfId="13235"/>
    <cellStyle name="Normal 34 7 3 2" xfId="13236"/>
    <cellStyle name="Normal 34 7 3 2 2" xfId="13237"/>
    <cellStyle name="Normal 34 7 3 3" xfId="13238"/>
    <cellStyle name="Normal 34 7 4" xfId="13239"/>
    <cellStyle name="Normal 34 7 4 2" xfId="13240"/>
    <cellStyle name="Normal 34 7 5" xfId="13241"/>
    <cellStyle name="Normal 34 8" xfId="13242"/>
    <cellStyle name="Normal 34 9" xfId="13243"/>
    <cellStyle name="Normal 34 9 2" xfId="13244"/>
    <cellStyle name="Normal 34 9 2 2" xfId="13245"/>
    <cellStyle name="Normal 34 9 3" xfId="13246"/>
    <cellStyle name="Normal 35" xfId="13247"/>
    <cellStyle name="Normal 35 10" xfId="13248"/>
    <cellStyle name="Normal 35 10 2" xfId="13249"/>
    <cellStyle name="Normal 35 10 2 2" xfId="13250"/>
    <cellStyle name="Normal 35 10 3" xfId="13251"/>
    <cellStyle name="Normal 35 11" xfId="13252"/>
    <cellStyle name="Normal 35 11 2" xfId="13253"/>
    <cellStyle name="Normal 35 12" xfId="13254"/>
    <cellStyle name="Normal 35 2" xfId="13255"/>
    <cellStyle name="Normal 35 2 10" xfId="13256"/>
    <cellStyle name="Normal 35 2 10 2" xfId="13257"/>
    <cellStyle name="Normal 35 2 11" xfId="13258"/>
    <cellStyle name="Normal 35 2 2" xfId="13259"/>
    <cellStyle name="Normal 35 2 2 2" xfId="13260"/>
    <cellStyle name="Normal 35 2 2 2 2" xfId="13261"/>
    <cellStyle name="Normal 35 2 2 2 2 2" xfId="13262"/>
    <cellStyle name="Normal 35 2 2 2 2 2 2" xfId="13263"/>
    <cellStyle name="Normal 35 2 2 2 2 3" xfId="13264"/>
    <cellStyle name="Normal 35 2 2 2 3" xfId="13265"/>
    <cellStyle name="Normal 35 2 2 2 3 2" xfId="13266"/>
    <cellStyle name="Normal 35 2 2 2 3 2 2" xfId="13267"/>
    <cellStyle name="Normal 35 2 2 2 3 3" xfId="13268"/>
    <cellStyle name="Normal 35 2 2 2 4" xfId="13269"/>
    <cellStyle name="Normal 35 2 2 2 4 2" xfId="13270"/>
    <cellStyle name="Normal 35 2 2 2 5" xfId="13271"/>
    <cellStyle name="Normal 35 2 2 3" xfId="13272"/>
    <cellStyle name="Normal 35 2 2 3 2" xfId="13273"/>
    <cellStyle name="Normal 35 2 2 3 2 2" xfId="13274"/>
    <cellStyle name="Normal 35 2 2 3 2 2 2" xfId="13275"/>
    <cellStyle name="Normal 35 2 2 3 2 3" xfId="13276"/>
    <cellStyle name="Normal 35 2 2 3 3" xfId="13277"/>
    <cellStyle name="Normal 35 2 2 3 3 2" xfId="13278"/>
    <cellStyle name="Normal 35 2 2 3 3 2 2" xfId="13279"/>
    <cellStyle name="Normal 35 2 2 3 3 3" xfId="13280"/>
    <cellStyle name="Normal 35 2 2 3 4" xfId="13281"/>
    <cellStyle name="Normal 35 2 2 3 4 2" xfId="13282"/>
    <cellStyle name="Normal 35 2 2 3 5" xfId="13283"/>
    <cellStyle name="Normal 35 2 2 4" xfId="13284"/>
    <cellStyle name="Normal 35 2 2 4 2" xfId="13285"/>
    <cellStyle name="Normal 35 2 2 4 2 2" xfId="13286"/>
    <cellStyle name="Normal 35 2 2 4 2 2 2" xfId="13287"/>
    <cellStyle name="Normal 35 2 2 4 2 3" xfId="13288"/>
    <cellStyle name="Normal 35 2 2 4 3" xfId="13289"/>
    <cellStyle name="Normal 35 2 2 4 3 2" xfId="13290"/>
    <cellStyle name="Normal 35 2 2 4 3 2 2" xfId="13291"/>
    <cellStyle name="Normal 35 2 2 4 3 3" xfId="13292"/>
    <cellStyle name="Normal 35 2 2 4 4" xfId="13293"/>
    <cellStyle name="Normal 35 2 2 4 4 2" xfId="13294"/>
    <cellStyle name="Normal 35 2 2 4 5" xfId="13295"/>
    <cellStyle name="Normal 35 2 2 5" xfId="13296"/>
    <cellStyle name="Normal 35 2 2 5 2" xfId="13297"/>
    <cellStyle name="Normal 35 2 2 5 2 2" xfId="13298"/>
    <cellStyle name="Normal 35 2 2 5 3" xfId="13299"/>
    <cellStyle name="Normal 35 2 2 6" xfId="13300"/>
    <cellStyle name="Normal 35 2 2 6 2" xfId="13301"/>
    <cellStyle name="Normal 35 2 2 6 2 2" xfId="13302"/>
    <cellStyle name="Normal 35 2 2 6 3" xfId="13303"/>
    <cellStyle name="Normal 35 2 2 7" xfId="13304"/>
    <cellStyle name="Normal 35 2 2 7 2" xfId="13305"/>
    <cellStyle name="Normal 35 2 2 8" xfId="13306"/>
    <cellStyle name="Normal 35 2 3" xfId="13307"/>
    <cellStyle name="Normal 35 2 3 2" xfId="13308"/>
    <cellStyle name="Normal 35 2 3 2 2" xfId="13309"/>
    <cellStyle name="Normal 35 2 3 2 2 2" xfId="13310"/>
    <cellStyle name="Normal 35 2 3 2 3" xfId="13311"/>
    <cellStyle name="Normal 35 2 3 3" xfId="13312"/>
    <cellStyle name="Normal 35 2 3 3 2" xfId="13313"/>
    <cellStyle name="Normal 35 2 3 3 2 2" xfId="13314"/>
    <cellStyle name="Normal 35 2 3 3 3" xfId="13315"/>
    <cellStyle name="Normal 35 2 3 4" xfId="13316"/>
    <cellStyle name="Normal 35 2 3 4 2" xfId="13317"/>
    <cellStyle name="Normal 35 2 3 5" xfId="13318"/>
    <cellStyle name="Normal 35 2 4" xfId="13319"/>
    <cellStyle name="Normal 35 2 4 2" xfId="13320"/>
    <cellStyle name="Normal 35 2 4 2 2" xfId="13321"/>
    <cellStyle name="Normal 35 2 4 2 2 2" xfId="13322"/>
    <cellStyle name="Normal 35 2 4 2 3" xfId="13323"/>
    <cellStyle name="Normal 35 2 4 3" xfId="13324"/>
    <cellStyle name="Normal 35 2 4 3 2" xfId="13325"/>
    <cellStyle name="Normal 35 2 4 3 2 2" xfId="13326"/>
    <cellStyle name="Normal 35 2 4 3 3" xfId="13327"/>
    <cellStyle name="Normal 35 2 4 4" xfId="13328"/>
    <cellStyle name="Normal 35 2 4 4 2" xfId="13329"/>
    <cellStyle name="Normal 35 2 4 5" xfId="13330"/>
    <cellStyle name="Normal 35 2 5" xfId="13331"/>
    <cellStyle name="Normal 35 2 5 2" xfId="13332"/>
    <cellStyle name="Normal 35 2 5 2 2" xfId="13333"/>
    <cellStyle name="Normal 35 2 5 2 2 2" xfId="13334"/>
    <cellStyle name="Normal 35 2 5 2 3" xfId="13335"/>
    <cellStyle name="Normal 35 2 5 3" xfId="13336"/>
    <cellStyle name="Normal 35 2 5 3 2" xfId="13337"/>
    <cellStyle name="Normal 35 2 5 3 2 2" xfId="13338"/>
    <cellStyle name="Normal 35 2 5 3 3" xfId="13339"/>
    <cellStyle name="Normal 35 2 5 4" xfId="13340"/>
    <cellStyle name="Normal 35 2 5 4 2" xfId="13341"/>
    <cellStyle name="Normal 35 2 5 5" xfId="13342"/>
    <cellStyle name="Normal 35 2 6" xfId="13343"/>
    <cellStyle name="Normal 35 2 6 2" xfId="13344"/>
    <cellStyle name="Normal 35 2 6 2 2" xfId="13345"/>
    <cellStyle name="Normal 35 2 6 3" xfId="13346"/>
    <cellStyle name="Normal 35 2 7" xfId="13347"/>
    <cellStyle name="Normal 35 2 7 2" xfId="13348"/>
    <cellStyle name="Normal 35 2 7 2 2" xfId="13349"/>
    <cellStyle name="Normal 35 2 7 3" xfId="13350"/>
    <cellStyle name="Normal 35 2 8" xfId="13351"/>
    <cellStyle name="Normal 35 2 8 2" xfId="13352"/>
    <cellStyle name="Normal 35 2 8 2 2" xfId="13353"/>
    <cellStyle name="Normal 35 2 8 3" xfId="13354"/>
    <cellStyle name="Normal 35 2 9" xfId="13355"/>
    <cellStyle name="Normal 35 2 9 2" xfId="13356"/>
    <cellStyle name="Normal 35 2 9 2 2" xfId="13357"/>
    <cellStyle name="Normal 35 2 9 3" xfId="13358"/>
    <cellStyle name="Normal 35 3" xfId="13359"/>
    <cellStyle name="Normal 35 3 10" xfId="13360"/>
    <cellStyle name="Normal 35 3 10 2" xfId="13361"/>
    <cellStyle name="Normal 35 3 11" xfId="13362"/>
    <cellStyle name="Normal 35 3 2" xfId="13363"/>
    <cellStyle name="Normal 35 3 2 2" xfId="13364"/>
    <cellStyle name="Normal 35 3 2 2 2" xfId="13365"/>
    <cellStyle name="Normal 35 3 2 2 2 2" xfId="13366"/>
    <cellStyle name="Normal 35 3 2 2 2 2 2" xfId="13367"/>
    <cellStyle name="Normal 35 3 2 2 2 3" xfId="13368"/>
    <cellStyle name="Normal 35 3 2 2 3" xfId="13369"/>
    <cellStyle name="Normal 35 3 2 2 3 2" xfId="13370"/>
    <cellStyle name="Normal 35 3 2 2 3 2 2" xfId="13371"/>
    <cellStyle name="Normal 35 3 2 2 3 3" xfId="13372"/>
    <cellStyle name="Normal 35 3 2 2 4" xfId="13373"/>
    <cellStyle name="Normal 35 3 2 2 4 2" xfId="13374"/>
    <cellStyle name="Normal 35 3 2 2 5" xfId="13375"/>
    <cellStyle name="Normal 35 3 2 3" xfId="13376"/>
    <cellStyle name="Normal 35 3 2 3 2" xfId="13377"/>
    <cellStyle name="Normal 35 3 2 3 2 2" xfId="13378"/>
    <cellStyle name="Normal 35 3 2 3 2 2 2" xfId="13379"/>
    <cellStyle name="Normal 35 3 2 3 2 3" xfId="13380"/>
    <cellStyle name="Normal 35 3 2 3 3" xfId="13381"/>
    <cellStyle name="Normal 35 3 2 3 3 2" xfId="13382"/>
    <cellStyle name="Normal 35 3 2 3 3 2 2" xfId="13383"/>
    <cellStyle name="Normal 35 3 2 3 3 3" xfId="13384"/>
    <cellStyle name="Normal 35 3 2 3 4" xfId="13385"/>
    <cellStyle name="Normal 35 3 2 3 4 2" xfId="13386"/>
    <cellStyle name="Normal 35 3 2 3 5" xfId="13387"/>
    <cellStyle name="Normal 35 3 2 4" xfId="13388"/>
    <cellStyle name="Normal 35 3 2 4 2" xfId="13389"/>
    <cellStyle name="Normal 35 3 2 4 2 2" xfId="13390"/>
    <cellStyle name="Normal 35 3 2 4 2 2 2" xfId="13391"/>
    <cellStyle name="Normal 35 3 2 4 2 3" xfId="13392"/>
    <cellStyle name="Normal 35 3 2 4 3" xfId="13393"/>
    <cellStyle name="Normal 35 3 2 4 3 2" xfId="13394"/>
    <cellStyle name="Normal 35 3 2 4 3 2 2" xfId="13395"/>
    <cellStyle name="Normal 35 3 2 4 3 3" xfId="13396"/>
    <cellStyle name="Normal 35 3 2 4 4" xfId="13397"/>
    <cellStyle name="Normal 35 3 2 4 4 2" xfId="13398"/>
    <cellStyle name="Normal 35 3 2 4 5" xfId="13399"/>
    <cellStyle name="Normal 35 3 2 5" xfId="13400"/>
    <cellStyle name="Normal 35 3 2 5 2" xfId="13401"/>
    <cellStyle name="Normal 35 3 2 5 2 2" xfId="13402"/>
    <cellStyle name="Normal 35 3 2 5 3" xfId="13403"/>
    <cellStyle name="Normal 35 3 2 6" xfId="13404"/>
    <cellStyle name="Normal 35 3 2 6 2" xfId="13405"/>
    <cellStyle name="Normal 35 3 2 6 2 2" xfId="13406"/>
    <cellStyle name="Normal 35 3 2 6 3" xfId="13407"/>
    <cellStyle name="Normal 35 3 2 7" xfId="13408"/>
    <cellStyle name="Normal 35 3 2 7 2" xfId="13409"/>
    <cellStyle name="Normal 35 3 2 8" xfId="13410"/>
    <cellStyle name="Normal 35 3 3" xfId="13411"/>
    <cellStyle name="Normal 35 3 3 2" xfId="13412"/>
    <cellStyle name="Normal 35 3 3 2 2" xfId="13413"/>
    <cellStyle name="Normal 35 3 3 2 2 2" xfId="13414"/>
    <cellStyle name="Normal 35 3 3 2 3" xfId="13415"/>
    <cellStyle name="Normal 35 3 3 3" xfId="13416"/>
    <cellStyle name="Normal 35 3 3 3 2" xfId="13417"/>
    <cellStyle name="Normal 35 3 3 3 2 2" xfId="13418"/>
    <cellStyle name="Normal 35 3 3 3 3" xfId="13419"/>
    <cellStyle name="Normal 35 3 3 4" xfId="13420"/>
    <cellStyle name="Normal 35 3 3 4 2" xfId="13421"/>
    <cellStyle name="Normal 35 3 3 5" xfId="13422"/>
    <cellStyle name="Normal 35 3 4" xfId="13423"/>
    <cellStyle name="Normal 35 3 4 2" xfId="13424"/>
    <cellStyle name="Normal 35 3 4 2 2" xfId="13425"/>
    <cellStyle name="Normal 35 3 4 2 2 2" xfId="13426"/>
    <cellStyle name="Normal 35 3 4 2 3" xfId="13427"/>
    <cellStyle name="Normal 35 3 4 3" xfId="13428"/>
    <cellStyle name="Normal 35 3 4 3 2" xfId="13429"/>
    <cellStyle name="Normal 35 3 4 3 2 2" xfId="13430"/>
    <cellStyle name="Normal 35 3 4 3 3" xfId="13431"/>
    <cellStyle name="Normal 35 3 4 4" xfId="13432"/>
    <cellStyle name="Normal 35 3 4 4 2" xfId="13433"/>
    <cellStyle name="Normal 35 3 4 5" xfId="13434"/>
    <cellStyle name="Normal 35 3 5" xfId="13435"/>
    <cellStyle name="Normal 35 3 5 2" xfId="13436"/>
    <cellStyle name="Normal 35 3 5 2 2" xfId="13437"/>
    <cellStyle name="Normal 35 3 5 2 2 2" xfId="13438"/>
    <cellStyle name="Normal 35 3 5 2 3" xfId="13439"/>
    <cellStyle name="Normal 35 3 5 3" xfId="13440"/>
    <cellStyle name="Normal 35 3 5 3 2" xfId="13441"/>
    <cellStyle name="Normal 35 3 5 3 2 2" xfId="13442"/>
    <cellStyle name="Normal 35 3 5 3 3" xfId="13443"/>
    <cellStyle name="Normal 35 3 5 4" xfId="13444"/>
    <cellStyle name="Normal 35 3 5 4 2" xfId="13445"/>
    <cellStyle name="Normal 35 3 5 5" xfId="13446"/>
    <cellStyle name="Normal 35 3 6" xfId="13447"/>
    <cellStyle name="Normal 35 3 6 2" xfId="13448"/>
    <cellStyle name="Normal 35 3 6 2 2" xfId="13449"/>
    <cellStyle name="Normal 35 3 6 3" xfId="13450"/>
    <cellStyle name="Normal 35 3 7" xfId="13451"/>
    <cellStyle name="Normal 35 3 7 2" xfId="13452"/>
    <cellStyle name="Normal 35 3 7 2 2" xfId="13453"/>
    <cellStyle name="Normal 35 3 7 3" xfId="13454"/>
    <cellStyle name="Normal 35 3 8" xfId="13455"/>
    <cellStyle name="Normal 35 3 8 2" xfId="13456"/>
    <cellStyle name="Normal 35 3 8 2 2" xfId="13457"/>
    <cellStyle name="Normal 35 3 8 3" xfId="13458"/>
    <cellStyle name="Normal 35 3 9" xfId="13459"/>
    <cellStyle name="Normal 35 3 9 2" xfId="13460"/>
    <cellStyle name="Normal 35 3 9 2 2" xfId="13461"/>
    <cellStyle name="Normal 35 3 9 3" xfId="13462"/>
    <cellStyle name="Normal 35 4" xfId="13463"/>
    <cellStyle name="Normal 35 4 2" xfId="13464"/>
    <cellStyle name="Normal 35 4 2 2" xfId="13465"/>
    <cellStyle name="Normal 35 4 2 2 2" xfId="13466"/>
    <cellStyle name="Normal 35 4 2 2 2 2" xfId="13467"/>
    <cellStyle name="Normal 35 4 2 2 3" xfId="13468"/>
    <cellStyle name="Normal 35 4 2 3" xfId="13469"/>
    <cellStyle name="Normal 35 4 2 3 2" xfId="13470"/>
    <cellStyle name="Normal 35 4 2 3 2 2" xfId="13471"/>
    <cellStyle name="Normal 35 4 2 3 3" xfId="13472"/>
    <cellStyle name="Normal 35 4 2 4" xfId="13473"/>
    <cellStyle name="Normal 35 4 2 4 2" xfId="13474"/>
    <cellStyle name="Normal 35 4 2 5" xfId="13475"/>
    <cellStyle name="Normal 35 4 3" xfId="13476"/>
    <cellStyle name="Normal 35 4 3 2" xfId="13477"/>
    <cellStyle name="Normal 35 4 3 2 2" xfId="13478"/>
    <cellStyle name="Normal 35 4 3 2 2 2" xfId="13479"/>
    <cellStyle name="Normal 35 4 3 2 3" xfId="13480"/>
    <cellStyle name="Normal 35 4 3 3" xfId="13481"/>
    <cellStyle name="Normal 35 4 3 3 2" xfId="13482"/>
    <cellStyle name="Normal 35 4 3 3 2 2" xfId="13483"/>
    <cellStyle name="Normal 35 4 3 3 3" xfId="13484"/>
    <cellStyle name="Normal 35 4 3 4" xfId="13485"/>
    <cellStyle name="Normal 35 4 3 4 2" xfId="13486"/>
    <cellStyle name="Normal 35 4 3 5" xfId="13487"/>
    <cellStyle name="Normal 35 4 4" xfId="13488"/>
    <cellStyle name="Normal 35 4 4 2" xfId="13489"/>
    <cellStyle name="Normal 35 4 4 2 2" xfId="13490"/>
    <cellStyle name="Normal 35 4 4 2 2 2" xfId="13491"/>
    <cellStyle name="Normal 35 4 4 2 3" xfId="13492"/>
    <cellStyle name="Normal 35 4 4 3" xfId="13493"/>
    <cellStyle name="Normal 35 4 4 3 2" xfId="13494"/>
    <cellStyle name="Normal 35 4 4 3 2 2" xfId="13495"/>
    <cellStyle name="Normal 35 4 4 3 3" xfId="13496"/>
    <cellStyle name="Normal 35 4 4 4" xfId="13497"/>
    <cellStyle name="Normal 35 4 4 4 2" xfId="13498"/>
    <cellStyle name="Normal 35 4 4 5" xfId="13499"/>
    <cellStyle name="Normal 35 4 5" xfId="13500"/>
    <cellStyle name="Normal 35 4 5 2" xfId="13501"/>
    <cellStyle name="Normal 35 4 5 2 2" xfId="13502"/>
    <cellStyle name="Normal 35 4 5 3" xfId="13503"/>
    <cellStyle name="Normal 35 4 6" xfId="13504"/>
    <cellStyle name="Normal 35 4 6 2" xfId="13505"/>
    <cellStyle name="Normal 35 4 6 2 2" xfId="13506"/>
    <cellStyle name="Normal 35 4 6 3" xfId="13507"/>
    <cellStyle name="Normal 35 4 7" xfId="13508"/>
    <cellStyle name="Normal 35 4 7 2" xfId="13509"/>
    <cellStyle name="Normal 35 4 8" xfId="13510"/>
    <cellStyle name="Normal 35 5" xfId="13511"/>
    <cellStyle name="Normal 35 5 2" xfId="13512"/>
    <cellStyle name="Normal 35 5 3" xfId="13513"/>
    <cellStyle name="Normal 35 5 3 2" xfId="13514"/>
    <cellStyle name="Normal 35 5 3 2 2" xfId="13515"/>
    <cellStyle name="Normal 35 5 3 3" xfId="13516"/>
    <cellStyle name="Normal 35 5 4" xfId="13517"/>
    <cellStyle name="Normal 35 5 4 2" xfId="13518"/>
    <cellStyle name="Normal 35 5 4 2 2" xfId="13519"/>
    <cellStyle name="Normal 35 5 4 3" xfId="13520"/>
    <cellStyle name="Normal 35 5 5" xfId="13521"/>
    <cellStyle name="Normal 35 5 5 2" xfId="13522"/>
    <cellStyle name="Normal 35 5 6" xfId="13523"/>
    <cellStyle name="Normal 35 6" xfId="13524"/>
    <cellStyle name="Normal 35 6 2" xfId="13525"/>
    <cellStyle name="Normal 35 6 2 2" xfId="13526"/>
    <cellStyle name="Normal 35 6 2 2 2" xfId="13527"/>
    <cellStyle name="Normal 35 6 2 3" xfId="13528"/>
    <cellStyle name="Normal 35 6 3" xfId="13529"/>
    <cellStyle name="Normal 35 6 3 2" xfId="13530"/>
    <cellStyle name="Normal 35 6 3 2 2" xfId="13531"/>
    <cellStyle name="Normal 35 6 3 3" xfId="13532"/>
    <cellStyle name="Normal 35 6 4" xfId="13533"/>
    <cellStyle name="Normal 35 6 4 2" xfId="13534"/>
    <cellStyle name="Normal 35 6 5" xfId="13535"/>
    <cellStyle name="Normal 35 7" xfId="13536"/>
    <cellStyle name="Normal 35 7 2" xfId="13537"/>
    <cellStyle name="Normal 35 7 2 2" xfId="13538"/>
    <cellStyle name="Normal 35 7 2 2 2" xfId="13539"/>
    <cellStyle name="Normal 35 7 2 3" xfId="13540"/>
    <cellStyle name="Normal 35 7 3" xfId="13541"/>
    <cellStyle name="Normal 35 7 3 2" xfId="13542"/>
    <cellStyle name="Normal 35 7 3 2 2" xfId="13543"/>
    <cellStyle name="Normal 35 7 3 3" xfId="13544"/>
    <cellStyle name="Normal 35 7 4" xfId="13545"/>
    <cellStyle name="Normal 35 7 4 2" xfId="13546"/>
    <cellStyle name="Normal 35 7 5" xfId="13547"/>
    <cellStyle name="Normal 35 8" xfId="13548"/>
    <cellStyle name="Normal 35 9" xfId="13549"/>
    <cellStyle name="Normal 35 9 2" xfId="13550"/>
    <cellStyle name="Normal 35 9 2 2" xfId="13551"/>
    <cellStyle name="Normal 35 9 3" xfId="13552"/>
    <cellStyle name="Normal 36" xfId="13553"/>
    <cellStyle name="Normal 36 10" xfId="13554"/>
    <cellStyle name="Normal 36 11" xfId="13555"/>
    <cellStyle name="Normal 36 11 2" xfId="13556"/>
    <cellStyle name="Normal 36 11 2 2" xfId="13557"/>
    <cellStyle name="Normal 36 11 2 2 2" xfId="13558"/>
    <cellStyle name="Normal 36 11 2 3" xfId="13559"/>
    <cellStyle name="Normal 36 11 3" xfId="13560"/>
    <cellStyle name="Normal 36 11 3 2" xfId="13561"/>
    <cellStyle name="Normal 36 11 3 2 2" xfId="13562"/>
    <cellStyle name="Normal 36 11 3 3" xfId="13563"/>
    <cellStyle name="Normal 36 11 4" xfId="13564"/>
    <cellStyle name="Normal 36 11 4 2" xfId="13565"/>
    <cellStyle name="Normal 36 11 5" xfId="13566"/>
    <cellStyle name="Normal 36 12" xfId="13567"/>
    <cellStyle name="Normal 36 13" xfId="13568"/>
    <cellStyle name="Normal 36 13 2" xfId="13569"/>
    <cellStyle name="Normal 36 13 2 2" xfId="13570"/>
    <cellStyle name="Normal 36 13 3" xfId="13571"/>
    <cellStyle name="Normal 36 14" xfId="13572"/>
    <cellStyle name="Normal 36 14 2" xfId="13573"/>
    <cellStyle name="Normal 36 14 2 2" xfId="13574"/>
    <cellStyle name="Normal 36 14 3" xfId="13575"/>
    <cellStyle name="Normal 36 15" xfId="13576"/>
    <cellStyle name="Normal 36 15 2" xfId="13577"/>
    <cellStyle name="Normal 36 16" xfId="13578"/>
    <cellStyle name="Normal 36 2" xfId="13579"/>
    <cellStyle name="Normal 36 2 10" xfId="13580"/>
    <cellStyle name="Normal 36 2 10 2" xfId="13581"/>
    <cellStyle name="Normal 36 2 11" xfId="13582"/>
    <cellStyle name="Normal 36 2 2" xfId="13583"/>
    <cellStyle name="Normal 36 2 2 2" xfId="13584"/>
    <cellStyle name="Normal 36 2 2 2 2" xfId="13585"/>
    <cellStyle name="Normal 36 2 2 2 2 2" xfId="13586"/>
    <cellStyle name="Normal 36 2 2 2 2 2 2" xfId="13587"/>
    <cellStyle name="Normal 36 2 2 2 2 3" xfId="13588"/>
    <cellStyle name="Normal 36 2 2 2 3" xfId="13589"/>
    <cellStyle name="Normal 36 2 2 2 3 2" xfId="13590"/>
    <cellStyle name="Normal 36 2 2 2 3 2 2" xfId="13591"/>
    <cellStyle name="Normal 36 2 2 2 3 3" xfId="13592"/>
    <cellStyle name="Normal 36 2 2 2 4" xfId="13593"/>
    <cellStyle name="Normal 36 2 2 2 4 2" xfId="13594"/>
    <cellStyle name="Normal 36 2 2 2 5" xfId="13595"/>
    <cellStyle name="Normal 36 2 2 3" xfId="13596"/>
    <cellStyle name="Normal 36 2 2 3 2" xfId="13597"/>
    <cellStyle name="Normal 36 2 2 3 2 2" xfId="13598"/>
    <cellStyle name="Normal 36 2 2 3 2 2 2" xfId="13599"/>
    <cellStyle name="Normal 36 2 2 3 2 3" xfId="13600"/>
    <cellStyle name="Normal 36 2 2 3 3" xfId="13601"/>
    <cellStyle name="Normal 36 2 2 3 3 2" xfId="13602"/>
    <cellStyle name="Normal 36 2 2 3 3 2 2" xfId="13603"/>
    <cellStyle name="Normal 36 2 2 3 3 3" xfId="13604"/>
    <cellStyle name="Normal 36 2 2 3 4" xfId="13605"/>
    <cellStyle name="Normal 36 2 2 3 4 2" xfId="13606"/>
    <cellStyle name="Normal 36 2 2 3 5" xfId="13607"/>
    <cellStyle name="Normal 36 2 2 4" xfId="13608"/>
    <cellStyle name="Normal 36 2 2 4 2" xfId="13609"/>
    <cellStyle name="Normal 36 2 2 4 2 2" xfId="13610"/>
    <cellStyle name="Normal 36 2 2 4 2 2 2" xfId="13611"/>
    <cellStyle name="Normal 36 2 2 4 2 3" xfId="13612"/>
    <cellStyle name="Normal 36 2 2 4 3" xfId="13613"/>
    <cellStyle name="Normal 36 2 2 4 3 2" xfId="13614"/>
    <cellStyle name="Normal 36 2 2 4 3 2 2" xfId="13615"/>
    <cellStyle name="Normal 36 2 2 4 3 3" xfId="13616"/>
    <cellStyle name="Normal 36 2 2 4 4" xfId="13617"/>
    <cellStyle name="Normal 36 2 2 4 4 2" xfId="13618"/>
    <cellStyle name="Normal 36 2 2 4 5" xfId="13619"/>
    <cellStyle name="Normal 36 2 2 5" xfId="13620"/>
    <cellStyle name="Normal 36 2 2 5 2" xfId="13621"/>
    <cellStyle name="Normal 36 2 2 5 2 2" xfId="13622"/>
    <cellStyle name="Normal 36 2 2 5 3" xfId="13623"/>
    <cellStyle name="Normal 36 2 2 6" xfId="13624"/>
    <cellStyle name="Normal 36 2 2 6 2" xfId="13625"/>
    <cellStyle name="Normal 36 2 2 6 2 2" xfId="13626"/>
    <cellStyle name="Normal 36 2 2 6 3" xfId="13627"/>
    <cellStyle name="Normal 36 2 2 7" xfId="13628"/>
    <cellStyle name="Normal 36 2 2 7 2" xfId="13629"/>
    <cellStyle name="Normal 36 2 2 8" xfId="13630"/>
    <cellStyle name="Normal 36 2 3" xfId="13631"/>
    <cellStyle name="Normal 36 2 3 2" xfId="13632"/>
    <cellStyle name="Normal 36 2 3 3" xfId="13633"/>
    <cellStyle name="Normal 36 2 3 3 2" xfId="13634"/>
    <cellStyle name="Normal 36 2 3 3 2 2" xfId="13635"/>
    <cellStyle name="Normal 36 2 3 3 3" xfId="13636"/>
    <cellStyle name="Normal 36 2 3 4" xfId="13637"/>
    <cellStyle name="Normal 36 2 3 4 2" xfId="13638"/>
    <cellStyle name="Normal 36 2 3 4 2 2" xfId="13639"/>
    <cellStyle name="Normal 36 2 3 4 3" xfId="13640"/>
    <cellStyle name="Normal 36 2 3 5" xfId="13641"/>
    <cellStyle name="Normal 36 2 3 5 2" xfId="13642"/>
    <cellStyle name="Normal 36 2 3 6" xfId="13643"/>
    <cellStyle name="Normal 36 2 4" xfId="13644"/>
    <cellStyle name="Normal 36 2 4 2" xfId="13645"/>
    <cellStyle name="Normal 36 2 4 2 2" xfId="13646"/>
    <cellStyle name="Normal 36 2 4 2 2 2" xfId="13647"/>
    <cellStyle name="Normal 36 2 4 2 3" xfId="13648"/>
    <cellStyle name="Normal 36 2 4 3" xfId="13649"/>
    <cellStyle name="Normal 36 2 4 3 2" xfId="13650"/>
    <cellStyle name="Normal 36 2 4 3 2 2" xfId="13651"/>
    <cellStyle name="Normal 36 2 4 3 3" xfId="13652"/>
    <cellStyle name="Normal 36 2 4 4" xfId="13653"/>
    <cellStyle name="Normal 36 2 4 4 2" xfId="13654"/>
    <cellStyle name="Normal 36 2 4 5" xfId="13655"/>
    <cellStyle name="Normal 36 2 5" xfId="13656"/>
    <cellStyle name="Normal 36 2 5 2" xfId="13657"/>
    <cellStyle name="Normal 36 2 5 2 2" xfId="13658"/>
    <cellStyle name="Normal 36 2 5 2 2 2" xfId="13659"/>
    <cellStyle name="Normal 36 2 5 2 3" xfId="13660"/>
    <cellStyle name="Normal 36 2 5 3" xfId="13661"/>
    <cellStyle name="Normal 36 2 5 3 2" xfId="13662"/>
    <cellStyle name="Normal 36 2 5 3 2 2" xfId="13663"/>
    <cellStyle name="Normal 36 2 5 3 3" xfId="13664"/>
    <cellStyle name="Normal 36 2 5 4" xfId="13665"/>
    <cellStyle name="Normal 36 2 5 4 2" xfId="13666"/>
    <cellStyle name="Normal 36 2 5 5" xfId="13667"/>
    <cellStyle name="Normal 36 2 6" xfId="13668"/>
    <cellStyle name="Normal 36 2 6 2" xfId="13669"/>
    <cellStyle name="Normal 36 2 6 2 2" xfId="13670"/>
    <cellStyle name="Normal 36 2 6 3" xfId="13671"/>
    <cellStyle name="Normal 36 2 7" xfId="13672"/>
    <cellStyle name="Normal 36 2 7 2" xfId="13673"/>
    <cellStyle name="Normal 36 2 7 2 2" xfId="13674"/>
    <cellStyle name="Normal 36 2 7 3" xfId="13675"/>
    <cellStyle name="Normal 36 2 8" xfId="13676"/>
    <cellStyle name="Normal 36 2 8 2" xfId="13677"/>
    <cellStyle name="Normal 36 2 8 2 2" xfId="13678"/>
    <cellStyle name="Normal 36 2 8 3" xfId="13679"/>
    <cellStyle name="Normal 36 2 9" xfId="13680"/>
    <cellStyle name="Normal 36 2 9 2" xfId="13681"/>
    <cellStyle name="Normal 36 2 9 2 2" xfId="13682"/>
    <cellStyle name="Normal 36 2 9 3" xfId="13683"/>
    <cellStyle name="Normal 36 3" xfId="13684"/>
    <cellStyle name="Normal 36 3 10" xfId="13685"/>
    <cellStyle name="Normal 36 3 10 2" xfId="13686"/>
    <cellStyle name="Normal 36 3 11" xfId="13687"/>
    <cellStyle name="Normal 36 3 2" xfId="13688"/>
    <cellStyle name="Normal 36 3 2 2" xfId="13689"/>
    <cellStyle name="Normal 36 3 2 2 2" xfId="13690"/>
    <cellStyle name="Normal 36 3 2 2 2 2" xfId="13691"/>
    <cellStyle name="Normal 36 3 2 2 2 2 2" xfId="13692"/>
    <cellStyle name="Normal 36 3 2 2 2 3" xfId="13693"/>
    <cellStyle name="Normal 36 3 2 2 3" xfId="13694"/>
    <cellStyle name="Normal 36 3 2 2 3 2" xfId="13695"/>
    <cellStyle name="Normal 36 3 2 2 3 2 2" xfId="13696"/>
    <cellStyle name="Normal 36 3 2 2 3 3" xfId="13697"/>
    <cellStyle name="Normal 36 3 2 2 4" xfId="13698"/>
    <cellStyle name="Normal 36 3 2 2 4 2" xfId="13699"/>
    <cellStyle name="Normal 36 3 2 2 5" xfId="13700"/>
    <cellStyle name="Normal 36 3 2 3" xfId="13701"/>
    <cellStyle name="Normal 36 3 2 3 2" xfId="13702"/>
    <cellStyle name="Normal 36 3 2 3 2 2" xfId="13703"/>
    <cellStyle name="Normal 36 3 2 3 2 2 2" xfId="13704"/>
    <cellStyle name="Normal 36 3 2 3 2 3" xfId="13705"/>
    <cellStyle name="Normal 36 3 2 3 3" xfId="13706"/>
    <cellStyle name="Normal 36 3 2 3 3 2" xfId="13707"/>
    <cellStyle name="Normal 36 3 2 3 3 2 2" xfId="13708"/>
    <cellStyle name="Normal 36 3 2 3 3 3" xfId="13709"/>
    <cellStyle name="Normal 36 3 2 3 4" xfId="13710"/>
    <cellStyle name="Normal 36 3 2 3 4 2" xfId="13711"/>
    <cellStyle name="Normal 36 3 2 3 5" xfId="13712"/>
    <cellStyle name="Normal 36 3 2 4" xfId="13713"/>
    <cellStyle name="Normal 36 3 2 4 2" xfId="13714"/>
    <cellStyle name="Normal 36 3 2 4 2 2" xfId="13715"/>
    <cellStyle name="Normal 36 3 2 4 2 2 2" xfId="13716"/>
    <cellStyle name="Normal 36 3 2 4 2 3" xfId="13717"/>
    <cellStyle name="Normal 36 3 2 4 3" xfId="13718"/>
    <cellStyle name="Normal 36 3 2 4 3 2" xfId="13719"/>
    <cellStyle name="Normal 36 3 2 4 3 2 2" xfId="13720"/>
    <cellStyle name="Normal 36 3 2 4 3 3" xfId="13721"/>
    <cellStyle name="Normal 36 3 2 4 4" xfId="13722"/>
    <cellStyle name="Normal 36 3 2 4 4 2" xfId="13723"/>
    <cellStyle name="Normal 36 3 2 4 5" xfId="13724"/>
    <cellStyle name="Normal 36 3 2 5" xfId="13725"/>
    <cellStyle name="Normal 36 3 2 5 2" xfId="13726"/>
    <cellStyle name="Normal 36 3 2 5 2 2" xfId="13727"/>
    <cellStyle name="Normal 36 3 2 5 3" xfId="13728"/>
    <cellStyle name="Normal 36 3 2 6" xfId="13729"/>
    <cellStyle name="Normal 36 3 2 6 2" xfId="13730"/>
    <cellStyle name="Normal 36 3 2 6 2 2" xfId="13731"/>
    <cellStyle name="Normal 36 3 2 6 3" xfId="13732"/>
    <cellStyle name="Normal 36 3 2 7" xfId="13733"/>
    <cellStyle name="Normal 36 3 2 7 2" xfId="13734"/>
    <cellStyle name="Normal 36 3 2 8" xfId="13735"/>
    <cellStyle name="Normal 36 3 3" xfId="13736"/>
    <cellStyle name="Normal 36 3 3 2" xfId="13737"/>
    <cellStyle name="Normal 36 3 3 3" xfId="13738"/>
    <cellStyle name="Normal 36 3 3 3 2" xfId="13739"/>
    <cellStyle name="Normal 36 3 3 3 2 2" xfId="13740"/>
    <cellStyle name="Normal 36 3 3 3 3" xfId="13741"/>
    <cellStyle name="Normal 36 3 3 4" xfId="13742"/>
    <cellStyle name="Normal 36 3 3 4 2" xfId="13743"/>
    <cellStyle name="Normal 36 3 3 4 2 2" xfId="13744"/>
    <cellStyle name="Normal 36 3 3 4 3" xfId="13745"/>
    <cellStyle name="Normal 36 3 3 5" xfId="13746"/>
    <cellStyle name="Normal 36 3 3 5 2" xfId="13747"/>
    <cellStyle name="Normal 36 3 3 6" xfId="13748"/>
    <cellStyle name="Normal 36 3 4" xfId="13749"/>
    <cellStyle name="Normal 36 3 4 2" xfId="13750"/>
    <cellStyle name="Normal 36 3 4 2 2" xfId="13751"/>
    <cellStyle name="Normal 36 3 4 2 2 2" xfId="13752"/>
    <cellStyle name="Normal 36 3 4 2 3" xfId="13753"/>
    <cellStyle name="Normal 36 3 4 3" xfId="13754"/>
    <cellStyle name="Normal 36 3 4 3 2" xfId="13755"/>
    <cellStyle name="Normal 36 3 4 3 2 2" xfId="13756"/>
    <cellStyle name="Normal 36 3 4 3 3" xfId="13757"/>
    <cellStyle name="Normal 36 3 4 4" xfId="13758"/>
    <cellStyle name="Normal 36 3 4 4 2" xfId="13759"/>
    <cellStyle name="Normal 36 3 4 5" xfId="13760"/>
    <cellStyle name="Normal 36 3 5" xfId="13761"/>
    <cellStyle name="Normal 36 3 5 2" xfId="13762"/>
    <cellStyle name="Normal 36 3 5 2 2" xfId="13763"/>
    <cellStyle name="Normal 36 3 5 2 2 2" xfId="13764"/>
    <cellStyle name="Normal 36 3 5 2 3" xfId="13765"/>
    <cellStyle name="Normal 36 3 5 3" xfId="13766"/>
    <cellStyle name="Normal 36 3 5 3 2" xfId="13767"/>
    <cellStyle name="Normal 36 3 5 3 2 2" xfId="13768"/>
    <cellStyle name="Normal 36 3 5 3 3" xfId="13769"/>
    <cellStyle name="Normal 36 3 5 4" xfId="13770"/>
    <cellStyle name="Normal 36 3 5 4 2" xfId="13771"/>
    <cellStyle name="Normal 36 3 5 5" xfId="13772"/>
    <cellStyle name="Normal 36 3 6" xfId="13773"/>
    <cellStyle name="Normal 36 3 6 2" xfId="13774"/>
    <cellStyle name="Normal 36 3 6 2 2" xfId="13775"/>
    <cellStyle name="Normal 36 3 6 3" xfId="13776"/>
    <cellStyle name="Normal 36 3 7" xfId="13777"/>
    <cellStyle name="Normal 36 3 7 2" xfId="13778"/>
    <cellStyle name="Normal 36 3 7 2 2" xfId="13779"/>
    <cellStyle name="Normal 36 3 7 3" xfId="13780"/>
    <cellStyle name="Normal 36 3 8" xfId="13781"/>
    <cellStyle name="Normal 36 3 8 2" xfId="13782"/>
    <cellStyle name="Normal 36 3 8 2 2" xfId="13783"/>
    <cellStyle name="Normal 36 3 8 3" xfId="13784"/>
    <cellStyle name="Normal 36 3 9" xfId="13785"/>
    <cellStyle name="Normal 36 3 9 2" xfId="13786"/>
    <cellStyle name="Normal 36 3 9 2 2" xfId="13787"/>
    <cellStyle name="Normal 36 3 9 3" xfId="13788"/>
    <cellStyle name="Normal 36 4" xfId="13789"/>
    <cellStyle name="Normal 36 4 2" xfId="13790"/>
    <cellStyle name="Normal 36 4 2 2" xfId="13791"/>
    <cellStyle name="Normal 36 4 2 3" xfId="13792"/>
    <cellStyle name="Normal 36 4 2 3 2" xfId="13793"/>
    <cellStyle name="Normal 36 4 2 3 2 2" xfId="13794"/>
    <cellStyle name="Normal 36 4 2 3 3" xfId="13795"/>
    <cellStyle name="Normal 36 4 2 4" xfId="13796"/>
    <cellStyle name="Normal 36 4 2 4 2" xfId="13797"/>
    <cellStyle name="Normal 36 4 2 4 2 2" xfId="13798"/>
    <cellStyle name="Normal 36 4 2 4 3" xfId="13799"/>
    <cellStyle name="Normal 36 4 2 5" xfId="13800"/>
    <cellStyle name="Normal 36 4 2 5 2" xfId="13801"/>
    <cellStyle name="Normal 36 4 2 6" xfId="13802"/>
    <cellStyle name="Normal 36 4 3" xfId="13803"/>
    <cellStyle name="Normal 36 4 3 2" xfId="13804"/>
    <cellStyle name="Normal 36 4 3 2 2" xfId="13805"/>
    <cellStyle name="Normal 36 4 3 2 2 2" xfId="13806"/>
    <cellStyle name="Normal 36 4 3 2 3" xfId="13807"/>
    <cellStyle name="Normal 36 4 3 3" xfId="13808"/>
    <cellStyle name="Normal 36 4 3 3 2" xfId="13809"/>
    <cellStyle name="Normal 36 4 3 3 2 2" xfId="13810"/>
    <cellStyle name="Normal 36 4 3 3 3" xfId="13811"/>
    <cellStyle name="Normal 36 4 3 4" xfId="13812"/>
    <cellStyle name="Normal 36 4 3 4 2" xfId="13813"/>
    <cellStyle name="Normal 36 4 3 5" xfId="13814"/>
    <cellStyle name="Normal 36 4 4" xfId="13815"/>
    <cellStyle name="Normal 36 4 4 2" xfId="13816"/>
    <cellStyle name="Normal 36 4 4 2 2" xfId="13817"/>
    <cellStyle name="Normal 36 4 4 2 2 2" xfId="13818"/>
    <cellStyle name="Normal 36 4 4 2 3" xfId="13819"/>
    <cellStyle name="Normal 36 4 4 3" xfId="13820"/>
    <cellStyle name="Normal 36 4 4 3 2" xfId="13821"/>
    <cellStyle name="Normal 36 4 4 3 2 2" xfId="13822"/>
    <cellStyle name="Normal 36 4 4 3 3" xfId="13823"/>
    <cellStyle name="Normal 36 4 4 4" xfId="13824"/>
    <cellStyle name="Normal 36 4 4 4 2" xfId="13825"/>
    <cellStyle name="Normal 36 4 4 5" xfId="13826"/>
    <cellStyle name="Normal 36 4 5" xfId="13827"/>
    <cellStyle name="Normal 36 4 5 2" xfId="13828"/>
    <cellStyle name="Normal 36 4 5 2 2" xfId="13829"/>
    <cellStyle name="Normal 36 4 5 3" xfId="13830"/>
    <cellStyle name="Normal 36 4 6" xfId="13831"/>
    <cellStyle name="Normal 36 4 6 2" xfId="13832"/>
    <cellStyle name="Normal 36 4 6 2 2" xfId="13833"/>
    <cellStyle name="Normal 36 4 6 3" xfId="13834"/>
    <cellStyle name="Normal 36 4 7" xfId="13835"/>
    <cellStyle name="Normal 36 4 7 2" xfId="13836"/>
    <cellStyle name="Normal 36 4 8" xfId="13837"/>
    <cellStyle name="Normal 36 5" xfId="13838"/>
    <cellStyle name="Normal 36 5 2" xfId="13839"/>
    <cellStyle name="Normal 36 5 3" xfId="13840"/>
    <cellStyle name="Normal 36 5 3 2" xfId="13841"/>
    <cellStyle name="Normal 36 5 3 2 2" xfId="13842"/>
    <cellStyle name="Normal 36 5 3 3" xfId="13843"/>
    <cellStyle name="Normal 36 5 4" xfId="13844"/>
    <cellStyle name="Normal 36 5 4 2" xfId="13845"/>
    <cellStyle name="Normal 36 5 4 2 2" xfId="13846"/>
    <cellStyle name="Normal 36 5 4 3" xfId="13847"/>
    <cellStyle name="Normal 36 5 5" xfId="13848"/>
    <cellStyle name="Normal 36 5 5 2" xfId="13849"/>
    <cellStyle name="Normal 36 5 6" xfId="13850"/>
    <cellStyle name="Normal 36 6" xfId="13851"/>
    <cellStyle name="Normal 36 6 2" xfId="13852"/>
    <cellStyle name="Normal 36 6 3" xfId="13853"/>
    <cellStyle name="Normal 36 6 3 2" xfId="13854"/>
    <cellStyle name="Normal 36 6 3 2 2" xfId="13855"/>
    <cellStyle name="Normal 36 6 3 3" xfId="13856"/>
    <cellStyle name="Normal 36 6 4" xfId="13857"/>
    <cellStyle name="Normal 36 6 4 2" xfId="13858"/>
    <cellStyle name="Normal 36 6 4 2 2" xfId="13859"/>
    <cellStyle name="Normal 36 6 4 3" xfId="13860"/>
    <cellStyle name="Normal 36 6 5" xfId="13861"/>
    <cellStyle name="Normal 36 6 5 2" xfId="13862"/>
    <cellStyle name="Normal 36 6 6" xfId="13863"/>
    <cellStyle name="Normal 36 7" xfId="13864"/>
    <cellStyle name="Normal 36 8" xfId="13865"/>
    <cellStyle name="Normal 36 9" xfId="13866"/>
    <cellStyle name="Normal 37" xfId="13867"/>
    <cellStyle name="Normal 37 10" xfId="13868"/>
    <cellStyle name="Normal 37 11" xfId="13869"/>
    <cellStyle name="Normal 37 2" xfId="13870"/>
    <cellStyle name="Normal 37 2 2" xfId="13871"/>
    <cellStyle name="Normal 37 3" xfId="13872"/>
    <cellStyle name="Normal 37 4" xfId="13873"/>
    <cellStyle name="Normal 37 5" xfId="13874"/>
    <cellStyle name="Normal 37 6" xfId="13875"/>
    <cellStyle name="Normal 37 7" xfId="13876"/>
    <cellStyle name="Normal 37 8" xfId="13877"/>
    <cellStyle name="Normal 37 9" xfId="13878"/>
    <cellStyle name="Normal 38" xfId="13879"/>
    <cellStyle name="Normal 38 10" xfId="13880"/>
    <cellStyle name="Normal 38 11" xfId="13881"/>
    <cellStyle name="Normal 38 11 2" xfId="13882"/>
    <cellStyle name="Normal 38 11 2 2" xfId="13883"/>
    <cellStyle name="Normal 38 11 2 2 2" xfId="13884"/>
    <cellStyle name="Normal 38 11 2 3" xfId="13885"/>
    <cellStyle name="Normal 38 11 3" xfId="13886"/>
    <cellStyle name="Normal 38 11 3 2" xfId="13887"/>
    <cellStyle name="Normal 38 11 3 2 2" xfId="13888"/>
    <cellStyle name="Normal 38 11 3 3" xfId="13889"/>
    <cellStyle name="Normal 38 11 4" xfId="13890"/>
    <cellStyle name="Normal 38 11 4 2" xfId="13891"/>
    <cellStyle name="Normal 38 11 5" xfId="13892"/>
    <cellStyle name="Normal 38 12" xfId="13893"/>
    <cellStyle name="Normal 38 13" xfId="13894"/>
    <cellStyle name="Normal 38 13 2" xfId="13895"/>
    <cellStyle name="Normal 38 13 2 2" xfId="13896"/>
    <cellStyle name="Normal 38 13 3" xfId="13897"/>
    <cellStyle name="Normal 38 14" xfId="13898"/>
    <cellStyle name="Normal 38 14 2" xfId="13899"/>
    <cellStyle name="Normal 38 14 2 2" xfId="13900"/>
    <cellStyle name="Normal 38 14 3" xfId="13901"/>
    <cellStyle name="Normal 38 15" xfId="13902"/>
    <cellStyle name="Normal 38 15 2" xfId="13903"/>
    <cellStyle name="Normal 38 16" xfId="13904"/>
    <cellStyle name="Normal 38 2" xfId="13905"/>
    <cellStyle name="Normal 38 2 2" xfId="13906"/>
    <cellStyle name="Normal 38 2 2 2" xfId="13907"/>
    <cellStyle name="Normal 38 2 2 3" xfId="13908"/>
    <cellStyle name="Normal 38 2 2 3 2" xfId="13909"/>
    <cellStyle name="Normal 38 2 2 3 2 2" xfId="13910"/>
    <cellStyle name="Normal 38 2 2 3 3" xfId="13911"/>
    <cellStyle name="Normal 38 2 2 4" xfId="13912"/>
    <cellStyle name="Normal 38 2 2 4 2" xfId="13913"/>
    <cellStyle name="Normal 38 2 2 4 2 2" xfId="13914"/>
    <cellStyle name="Normal 38 2 2 4 3" xfId="13915"/>
    <cellStyle name="Normal 38 2 2 5" xfId="13916"/>
    <cellStyle name="Normal 38 2 2 5 2" xfId="13917"/>
    <cellStyle name="Normal 38 2 2 6" xfId="13918"/>
    <cellStyle name="Normal 38 2 3" xfId="13919"/>
    <cellStyle name="Normal 38 2 3 2" xfId="13920"/>
    <cellStyle name="Normal 38 2 3 2 2" xfId="13921"/>
    <cellStyle name="Normal 38 2 3 2 2 2" xfId="13922"/>
    <cellStyle name="Normal 38 2 3 2 3" xfId="13923"/>
    <cellStyle name="Normal 38 2 3 3" xfId="13924"/>
    <cellStyle name="Normal 38 2 3 3 2" xfId="13925"/>
    <cellStyle name="Normal 38 2 3 3 2 2" xfId="13926"/>
    <cellStyle name="Normal 38 2 3 3 3" xfId="13927"/>
    <cellStyle name="Normal 38 2 3 4" xfId="13928"/>
    <cellStyle name="Normal 38 2 3 4 2" xfId="13929"/>
    <cellStyle name="Normal 38 2 3 5" xfId="13930"/>
    <cellStyle name="Normal 38 2 4" xfId="13931"/>
    <cellStyle name="Normal 38 2 4 2" xfId="13932"/>
    <cellStyle name="Normal 38 2 4 2 2" xfId="13933"/>
    <cellStyle name="Normal 38 2 4 2 2 2" xfId="13934"/>
    <cellStyle name="Normal 38 2 4 2 3" xfId="13935"/>
    <cellStyle name="Normal 38 2 4 3" xfId="13936"/>
    <cellStyle name="Normal 38 2 4 3 2" xfId="13937"/>
    <cellStyle name="Normal 38 2 4 3 2 2" xfId="13938"/>
    <cellStyle name="Normal 38 2 4 3 3" xfId="13939"/>
    <cellStyle name="Normal 38 2 4 4" xfId="13940"/>
    <cellStyle name="Normal 38 2 4 4 2" xfId="13941"/>
    <cellStyle name="Normal 38 2 4 5" xfId="13942"/>
    <cellStyle name="Normal 38 2 5" xfId="13943"/>
    <cellStyle name="Normal 38 2 5 2" xfId="13944"/>
    <cellStyle name="Normal 38 2 5 2 2" xfId="13945"/>
    <cellStyle name="Normal 38 2 5 3" xfId="13946"/>
    <cellStyle name="Normal 38 2 6" xfId="13947"/>
    <cellStyle name="Normal 38 2 6 2" xfId="13948"/>
    <cellStyle name="Normal 38 2 6 2 2" xfId="13949"/>
    <cellStyle name="Normal 38 2 6 3" xfId="13950"/>
    <cellStyle name="Normal 38 2 7" xfId="13951"/>
    <cellStyle name="Normal 38 2 7 2" xfId="13952"/>
    <cellStyle name="Normal 38 2 8" xfId="13953"/>
    <cellStyle name="Normal 38 3" xfId="13954"/>
    <cellStyle name="Normal 38 3 2" xfId="13955"/>
    <cellStyle name="Normal 38 3 3" xfId="13956"/>
    <cellStyle name="Normal 38 3 3 2" xfId="13957"/>
    <cellStyle name="Normal 38 3 3 2 2" xfId="13958"/>
    <cellStyle name="Normal 38 3 3 3" xfId="13959"/>
    <cellStyle name="Normal 38 3 4" xfId="13960"/>
    <cellStyle name="Normal 38 3 4 2" xfId="13961"/>
    <cellStyle name="Normal 38 3 4 2 2" xfId="13962"/>
    <cellStyle name="Normal 38 3 4 3" xfId="13963"/>
    <cellStyle name="Normal 38 3 5" xfId="13964"/>
    <cellStyle name="Normal 38 3 5 2" xfId="13965"/>
    <cellStyle name="Normal 38 3 6" xfId="13966"/>
    <cellStyle name="Normal 38 4" xfId="13967"/>
    <cellStyle name="Normal 38 4 2" xfId="13968"/>
    <cellStyle name="Normal 38 4 3" xfId="13969"/>
    <cellStyle name="Normal 38 4 3 2" xfId="13970"/>
    <cellStyle name="Normal 38 4 3 2 2" xfId="13971"/>
    <cellStyle name="Normal 38 4 3 3" xfId="13972"/>
    <cellStyle name="Normal 38 4 4" xfId="13973"/>
    <cellStyle name="Normal 38 4 4 2" xfId="13974"/>
    <cellStyle name="Normal 38 4 4 2 2" xfId="13975"/>
    <cellStyle name="Normal 38 4 4 3" xfId="13976"/>
    <cellStyle name="Normal 38 4 5" xfId="13977"/>
    <cellStyle name="Normal 38 4 5 2" xfId="13978"/>
    <cellStyle name="Normal 38 4 6" xfId="13979"/>
    <cellStyle name="Normal 38 5" xfId="13980"/>
    <cellStyle name="Normal 38 6" xfId="13981"/>
    <cellStyle name="Normal 38 7" xfId="13982"/>
    <cellStyle name="Normal 38 8" xfId="13983"/>
    <cellStyle name="Normal 38 9" xfId="13984"/>
    <cellStyle name="Normal 39" xfId="13985"/>
    <cellStyle name="Normal 39 10" xfId="13986"/>
    <cellStyle name="Normal 39 11" xfId="13987"/>
    <cellStyle name="Normal 39 11 2" xfId="13988"/>
    <cellStyle name="Normal 39 11 2 2" xfId="13989"/>
    <cellStyle name="Normal 39 11 2 2 2" xfId="13990"/>
    <cellStyle name="Normal 39 11 2 3" xfId="13991"/>
    <cellStyle name="Normal 39 11 3" xfId="13992"/>
    <cellStyle name="Normal 39 11 3 2" xfId="13993"/>
    <cellStyle name="Normal 39 11 3 2 2" xfId="13994"/>
    <cellStyle name="Normal 39 11 3 3" xfId="13995"/>
    <cellStyle name="Normal 39 11 4" xfId="13996"/>
    <cellStyle name="Normal 39 11 4 2" xfId="13997"/>
    <cellStyle name="Normal 39 11 5" xfId="13998"/>
    <cellStyle name="Normal 39 12" xfId="13999"/>
    <cellStyle name="Normal 39 13" xfId="14000"/>
    <cellStyle name="Normal 39 13 2" xfId="14001"/>
    <cellStyle name="Normal 39 13 2 2" xfId="14002"/>
    <cellStyle name="Normal 39 13 3" xfId="14003"/>
    <cellStyle name="Normal 39 14" xfId="14004"/>
    <cellStyle name="Normal 39 14 2" xfId="14005"/>
    <cellStyle name="Normal 39 14 2 2" xfId="14006"/>
    <cellStyle name="Normal 39 14 3" xfId="14007"/>
    <cellStyle name="Normal 39 15" xfId="14008"/>
    <cellStyle name="Normal 39 15 2" xfId="14009"/>
    <cellStyle name="Normal 39 16" xfId="14010"/>
    <cellStyle name="Normal 39 2" xfId="14011"/>
    <cellStyle name="Normal 39 2 2" xfId="14012"/>
    <cellStyle name="Normal 39 2 2 2" xfId="14013"/>
    <cellStyle name="Normal 39 2 2 3" xfId="14014"/>
    <cellStyle name="Normal 39 2 2 3 2" xfId="14015"/>
    <cellStyle name="Normal 39 2 2 3 2 2" xfId="14016"/>
    <cellStyle name="Normal 39 2 2 3 3" xfId="14017"/>
    <cellStyle name="Normal 39 2 2 4" xfId="14018"/>
    <cellStyle name="Normal 39 2 2 4 2" xfId="14019"/>
    <cellStyle name="Normal 39 2 2 4 2 2" xfId="14020"/>
    <cellStyle name="Normal 39 2 2 4 3" xfId="14021"/>
    <cellStyle name="Normal 39 2 2 5" xfId="14022"/>
    <cellStyle name="Normal 39 2 2 5 2" xfId="14023"/>
    <cellStyle name="Normal 39 2 2 6" xfId="14024"/>
    <cellStyle name="Normal 39 2 3" xfId="14025"/>
    <cellStyle name="Normal 39 2 3 2" xfId="14026"/>
    <cellStyle name="Normal 39 2 3 2 2" xfId="14027"/>
    <cellStyle name="Normal 39 2 3 2 2 2" xfId="14028"/>
    <cellStyle name="Normal 39 2 3 2 3" xfId="14029"/>
    <cellStyle name="Normal 39 2 3 3" xfId="14030"/>
    <cellStyle name="Normal 39 2 3 3 2" xfId="14031"/>
    <cellStyle name="Normal 39 2 3 3 2 2" xfId="14032"/>
    <cellStyle name="Normal 39 2 3 3 3" xfId="14033"/>
    <cellStyle name="Normal 39 2 3 4" xfId="14034"/>
    <cellStyle name="Normal 39 2 3 4 2" xfId="14035"/>
    <cellStyle name="Normal 39 2 3 5" xfId="14036"/>
    <cellStyle name="Normal 39 2 4" xfId="14037"/>
    <cellStyle name="Normal 39 2 4 2" xfId="14038"/>
    <cellStyle name="Normal 39 2 4 2 2" xfId="14039"/>
    <cellStyle name="Normal 39 2 4 2 2 2" xfId="14040"/>
    <cellStyle name="Normal 39 2 4 2 3" xfId="14041"/>
    <cellStyle name="Normal 39 2 4 3" xfId="14042"/>
    <cellStyle name="Normal 39 2 4 3 2" xfId="14043"/>
    <cellStyle name="Normal 39 2 4 3 2 2" xfId="14044"/>
    <cellStyle name="Normal 39 2 4 3 3" xfId="14045"/>
    <cellStyle name="Normal 39 2 4 4" xfId="14046"/>
    <cellStyle name="Normal 39 2 4 4 2" xfId="14047"/>
    <cellStyle name="Normal 39 2 4 5" xfId="14048"/>
    <cellStyle name="Normal 39 2 5" xfId="14049"/>
    <cellStyle name="Normal 39 2 5 2" xfId="14050"/>
    <cellStyle name="Normal 39 2 5 2 2" xfId="14051"/>
    <cellStyle name="Normal 39 2 5 3" xfId="14052"/>
    <cellStyle name="Normal 39 2 6" xfId="14053"/>
    <cellStyle name="Normal 39 2 6 2" xfId="14054"/>
    <cellStyle name="Normal 39 2 6 2 2" xfId="14055"/>
    <cellStyle name="Normal 39 2 6 3" xfId="14056"/>
    <cellStyle name="Normal 39 2 7" xfId="14057"/>
    <cellStyle name="Normal 39 2 7 2" xfId="14058"/>
    <cellStyle name="Normal 39 2 8" xfId="14059"/>
    <cellStyle name="Normal 39 3" xfId="14060"/>
    <cellStyle name="Normal 39 3 2" xfId="14061"/>
    <cellStyle name="Normal 39 3 3" xfId="14062"/>
    <cellStyle name="Normal 39 3 3 2" xfId="14063"/>
    <cellStyle name="Normal 39 3 3 2 2" xfId="14064"/>
    <cellStyle name="Normal 39 3 3 3" xfId="14065"/>
    <cellStyle name="Normal 39 3 4" xfId="14066"/>
    <cellStyle name="Normal 39 3 4 2" xfId="14067"/>
    <cellStyle name="Normal 39 3 4 2 2" xfId="14068"/>
    <cellStyle name="Normal 39 3 4 3" xfId="14069"/>
    <cellStyle name="Normal 39 3 5" xfId="14070"/>
    <cellStyle name="Normal 39 3 5 2" xfId="14071"/>
    <cellStyle name="Normal 39 3 6" xfId="14072"/>
    <cellStyle name="Normal 39 4" xfId="14073"/>
    <cellStyle name="Normal 39 4 2" xfId="14074"/>
    <cellStyle name="Normal 39 4 3" xfId="14075"/>
    <cellStyle name="Normal 39 4 3 2" xfId="14076"/>
    <cellStyle name="Normal 39 4 3 2 2" xfId="14077"/>
    <cellStyle name="Normal 39 4 3 3" xfId="14078"/>
    <cellStyle name="Normal 39 4 4" xfId="14079"/>
    <cellStyle name="Normal 39 4 4 2" xfId="14080"/>
    <cellStyle name="Normal 39 4 4 2 2" xfId="14081"/>
    <cellStyle name="Normal 39 4 4 3" xfId="14082"/>
    <cellStyle name="Normal 39 4 5" xfId="14083"/>
    <cellStyle name="Normal 39 4 5 2" xfId="14084"/>
    <cellStyle name="Normal 39 4 6" xfId="14085"/>
    <cellStyle name="Normal 39 5" xfId="14086"/>
    <cellStyle name="Normal 39 6" xfId="14087"/>
    <cellStyle name="Normal 39 7" xfId="14088"/>
    <cellStyle name="Normal 39 8" xfId="14089"/>
    <cellStyle name="Normal 39 9" xfId="14090"/>
    <cellStyle name="Normal 4" xfId="14091"/>
    <cellStyle name="Normal 4 10" xfId="14092"/>
    <cellStyle name="Normal 4 10 2" xfId="14093"/>
    <cellStyle name="Normal 4 10 3" xfId="14094"/>
    <cellStyle name="Normal 4 10 3 2" xfId="14095"/>
    <cellStyle name="Normal 4 10 3 2 2" xfId="14096"/>
    <cellStyle name="Normal 4 10 3 3" xfId="14097"/>
    <cellStyle name="Normal 4 10 4" xfId="14098"/>
    <cellStyle name="Normal 4 10 4 2" xfId="14099"/>
    <cellStyle name="Normal 4 10 4 2 2" xfId="14100"/>
    <cellStyle name="Normal 4 10 4 3" xfId="14101"/>
    <cellStyle name="Normal 4 10 5" xfId="14102"/>
    <cellStyle name="Normal 4 10 5 2" xfId="14103"/>
    <cellStyle name="Normal 4 10 6" xfId="14104"/>
    <cellStyle name="Normal 4 11" xfId="14105"/>
    <cellStyle name="Normal 4 11 2" xfId="14106"/>
    <cellStyle name="Normal 4 11 3" xfId="14107"/>
    <cellStyle name="Normal 4 11 3 2" xfId="14108"/>
    <cellStyle name="Normal 4 11 3 2 2" xfId="14109"/>
    <cellStyle name="Normal 4 11 3 3" xfId="14110"/>
    <cellStyle name="Normal 4 11 4" xfId="14111"/>
    <cellStyle name="Normal 4 11 4 2" xfId="14112"/>
    <cellStyle name="Normal 4 11 4 2 2" xfId="14113"/>
    <cellStyle name="Normal 4 11 4 3" xfId="14114"/>
    <cellStyle name="Normal 4 11 5" xfId="14115"/>
    <cellStyle name="Normal 4 11 5 2" xfId="14116"/>
    <cellStyle name="Normal 4 11 6" xfId="14117"/>
    <cellStyle name="Normal 4 12" xfId="14118"/>
    <cellStyle name="Normal 4 13" xfId="14119"/>
    <cellStyle name="Normal 4 14" xfId="14120"/>
    <cellStyle name="Normal 4 15" xfId="14121"/>
    <cellStyle name="Normal 4 16" xfId="14122"/>
    <cellStyle name="Normal 4 17" xfId="14123"/>
    <cellStyle name="Normal 4 17 2" xfId="14124"/>
    <cellStyle name="Normal 4 17 2 2" xfId="14125"/>
    <cellStyle name="Normal 4 17 2 2 2" xfId="14126"/>
    <cellStyle name="Normal 4 17 2 3" xfId="14127"/>
    <cellStyle name="Normal 4 17 3" xfId="14128"/>
    <cellStyle name="Normal 4 17 3 2" xfId="14129"/>
    <cellStyle name="Normal 4 17 3 2 2" xfId="14130"/>
    <cellStyle name="Normal 4 17 3 3" xfId="14131"/>
    <cellStyle name="Normal 4 17 4" xfId="14132"/>
    <cellStyle name="Normal 4 17 4 2" xfId="14133"/>
    <cellStyle name="Normal 4 17 5" xfId="14134"/>
    <cellStyle name="Normal 4 18" xfId="14135"/>
    <cellStyle name="Normal 4 18 2" xfId="14136"/>
    <cellStyle name="Normal 4 19" xfId="10"/>
    <cellStyle name="Normal 4 2" xfId="14137"/>
    <cellStyle name="Normal 4 2 2" xfId="14138"/>
    <cellStyle name="Normal 4 2 2 2" xfId="14139"/>
    <cellStyle name="Normal 4 2 2 2 2" xfId="14140"/>
    <cellStyle name="Normal 4 2 2 2 2 2" xfId="14141"/>
    <cellStyle name="Normal 4 2 2 2 3" xfId="14142"/>
    <cellStyle name="Normal 4 2 2 3" xfId="14143"/>
    <cellStyle name="Normal 4 2 2 3 2" xfId="14144"/>
    <cellStyle name="Normal 4 2 2 3 2 2" xfId="14145"/>
    <cellStyle name="Normal 4 2 2 3 3" xfId="14146"/>
    <cellStyle name="Normal 4 2 3" xfId="14147"/>
    <cellStyle name="Normal 4 2 4" xfId="14148"/>
    <cellStyle name="Normal 4 2 5" xfId="14149"/>
    <cellStyle name="Normal 4 3" xfId="14150"/>
    <cellStyle name="Normal 4 3 2" xfId="14151"/>
    <cellStyle name="Normal 4 3 3" xfId="14152"/>
    <cellStyle name="Normal 4 3 4" xfId="14153"/>
    <cellStyle name="Normal 4 3 5" xfId="18662"/>
    <cellStyle name="Normal 4 4" xfId="14154"/>
    <cellStyle name="Normal 4 4 2" xfId="14155"/>
    <cellStyle name="Normal 4 4 3" xfId="14156"/>
    <cellStyle name="Normal 4 4 4" xfId="14157"/>
    <cellStyle name="Normal 4 5" xfId="14158"/>
    <cellStyle name="Normal 4 5 2" xfId="14159"/>
    <cellStyle name="Normal 4 5 3" xfId="14160"/>
    <cellStyle name="Normal 4 5 4" xfId="14161"/>
    <cellStyle name="Normal 4 6" xfId="14162"/>
    <cellStyle name="Normal 4 6 2" xfId="14163"/>
    <cellStyle name="Normal 4 6 3" xfId="14164"/>
    <cellStyle name="Normal 4 6 4" xfId="14165"/>
    <cellStyle name="Normal 4 7" xfId="14166"/>
    <cellStyle name="Normal 4 7 10" xfId="14167"/>
    <cellStyle name="Normal 4 7 10 2" xfId="14168"/>
    <cellStyle name="Normal 4 7 11" xfId="14169"/>
    <cellStyle name="Normal 4 7 2" xfId="14170"/>
    <cellStyle name="Normal 4 7 2 2" xfId="14171"/>
    <cellStyle name="Normal 4 7 2 2 2" xfId="14172"/>
    <cellStyle name="Normal 4 7 2 2 2 2" xfId="14173"/>
    <cellStyle name="Normal 4 7 2 2 2 2 2" xfId="14174"/>
    <cellStyle name="Normal 4 7 2 2 2 3" xfId="14175"/>
    <cellStyle name="Normal 4 7 2 2 3" xfId="14176"/>
    <cellStyle name="Normal 4 7 2 2 3 2" xfId="14177"/>
    <cellStyle name="Normal 4 7 2 2 3 2 2" xfId="14178"/>
    <cellStyle name="Normal 4 7 2 2 3 3" xfId="14179"/>
    <cellStyle name="Normal 4 7 2 2 4" xfId="14180"/>
    <cellStyle name="Normal 4 7 2 2 4 2" xfId="14181"/>
    <cellStyle name="Normal 4 7 2 2 5" xfId="14182"/>
    <cellStyle name="Normal 4 7 2 3" xfId="14183"/>
    <cellStyle name="Normal 4 7 2 3 2" xfId="14184"/>
    <cellStyle name="Normal 4 7 2 3 2 2" xfId="14185"/>
    <cellStyle name="Normal 4 7 2 3 2 2 2" xfId="14186"/>
    <cellStyle name="Normal 4 7 2 3 2 3" xfId="14187"/>
    <cellStyle name="Normal 4 7 2 3 3" xfId="14188"/>
    <cellStyle name="Normal 4 7 2 3 3 2" xfId="14189"/>
    <cellStyle name="Normal 4 7 2 3 3 2 2" xfId="14190"/>
    <cellStyle name="Normal 4 7 2 3 3 3" xfId="14191"/>
    <cellStyle name="Normal 4 7 2 3 4" xfId="14192"/>
    <cellStyle name="Normal 4 7 2 3 4 2" xfId="14193"/>
    <cellStyle name="Normal 4 7 2 3 5" xfId="14194"/>
    <cellStyle name="Normal 4 7 2 4" xfId="14195"/>
    <cellStyle name="Normal 4 7 2 4 2" xfId="14196"/>
    <cellStyle name="Normal 4 7 2 4 2 2" xfId="14197"/>
    <cellStyle name="Normal 4 7 2 4 2 2 2" xfId="14198"/>
    <cellStyle name="Normal 4 7 2 4 2 3" xfId="14199"/>
    <cellStyle name="Normal 4 7 2 4 3" xfId="14200"/>
    <cellStyle name="Normal 4 7 2 4 3 2" xfId="14201"/>
    <cellStyle name="Normal 4 7 2 4 3 2 2" xfId="14202"/>
    <cellStyle name="Normal 4 7 2 4 3 3" xfId="14203"/>
    <cellStyle name="Normal 4 7 2 4 4" xfId="14204"/>
    <cellStyle name="Normal 4 7 2 4 4 2" xfId="14205"/>
    <cellStyle name="Normal 4 7 2 4 5" xfId="14206"/>
    <cellStyle name="Normal 4 7 2 5" xfId="14207"/>
    <cellStyle name="Normal 4 7 2 5 2" xfId="14208"/>
    <cellStyle name="Normal 4 7 2 5 2 2" xfId="14209"/>
    <cellStyle name="Normal 4 7 2 5 3" xfId="14210"/>
    <cellStyle name="Normal 4 7 2 6" xfId="14211"/>
    <cellStyle name="Normal 4 7 2 6 2" xfId="14212"/>
    <cellStyle name="Normal 4 7 2 6 2 2" xfId="14213"/>
    <cellStyle name="Normal 4 7 2 6 3" xfId="14214"/>
    <cellStyle name="Normal 4 7 2 7" xfId="14215"/>
    <cellStyle name="Normal 4 7 2 7 2" xfId="14216"/>
    <cellStyle name="Normal 4 7 2 8" xfId="14217"/>
    <cellStyle name="Normal 4 7 3" xfId="14218"/>
    <cellStyle name="Normal 4 7 3 2" xfId="14219"/>
    <cellStyle name="Normal 4 7 3 3" xfId="14220"/>
    <cellStyle name="Normal 4 7 3 3 2" xfId="14221"/>
    <cellStyle name="Normal 4 7 3 3 2 2" xfId="14222"/>
    <cellStyle name="Normal 4 7 3 3 3" xfId="14223"/>
    <cellStyle name="Normal 4 7 3 4" xfId="14224"/>
    <cellStyle name="Normal 4 7 3 4 2" xfId="14225"/>
    <cellStyle name="Normal 4 7 3 4 2 2" xfId="14226"/>
    <cellStyle name="Normal 4 7 3 4 3" xfId="14227"/>
    <cellStyle name="Normal 4 7 3 5" xfId="14228"/>
    <cellStyle name="Normal 4 7 3 5 2" xfId="14229"/>
    <cellStyle name="Normal 4 7 3 6" xfId="14230"/>
    <cellStyle name="Normal 4 7 4" xfId="14231"/>
    <cellStyle name="Normal 4 7 4 2" xfId="14232"/>
    <cellStyle name="Normal 4 7 4 2 2" xfId="14233"/>
    <cellStyle name="Normal 4 7 4 2 2 2" xfId="14234"/>
    <cellStyle name="Normal 4 7 4 2 3" xfId="14235"/>
    <cellStyle name="Normal 4 7 4 3" xfId="14236"/>
    <cellStyle name="Normal 4 7 4 3 2" xfId="14237"/>
    <cellStyle name="Normal 4 7 4 3 2 2" xfId="14238"/>
    <cellStyle name="Normal 4 7 4 3 3" xfId="14239"/>
    <cellStyle name="Normal 4 7 4 4" xfId="14240"/>
    <cellStyle name="Normal 4 7 4 4 2" xfId="14241"/>
    <cellStyle name="Normal 4 7 4 5" xfId="14242"/>
    <cellStyle name="Normal 4 7 5" xfId="14243"/>
    <cellStyle name="Normal 4 7 5 2" xfId="14244"/>
    <cellStyle name="Normal 4 7 5 2 2" xfId="14245"/>
    <cellStyle name="Normal 4 7 5 2 2 2" xfId="14246"/>
    <cellStyle name="Normal 4 7 5 2 3" xfId="14247"/>
    <cellStyle name="Normal 4 7 5 3" xfId="14248"/>
    <cellStyle name="Normal 4 7 5 3 2" xfId="14249"/>
    <cellStyle name="Normal 4 7 5 3 2 2" xfId="14250"/>
    <cellStyle name="Normal 4 7 5 3 3" xfId="14251"/>
    <cellStyle name="Normal 4 7 5 4" xfId="14252"/>
    <cellStyle name="Normal 4 7 5 4 2" xfId="14253"/>
    <cellStyle name="Normal 4 7 5 5" xfId="14254"/>
    <cellStyle name="Normal 4 7 6" xfId="14255"/>
    <cellStyle name="Normal 4 7 6 2" xfId="14256"/>
    <cellStyle name="Normal 4 7 6 2 2" xfId="14257"/>
    <cellStyle name="Normal 4 7 6 3" xfId="14258"/>
    <cellStyle name="Normal 4 7 7" xfId="14259"/>
    <cellStyle name="Normal 4 7 7 2" xfId="14260"/>
    <cellStyle name="Normal 4 7 7 2 2" xfId="14261"/>
    <cellStyle name="Normal 4 7 7 3" xfId="14262"/>
    <cellStyle name="Normal 4 7 8" xfId="14263"/>
    <cellStyle name="Normal 4 7 8 2" xfId="14264"/>
    <cellStyle name="Normal 4 7 8 2 2" xfId="14265"/>
    <cellStyle name="Normal 4 7 8 3" xfId="14266"/>
    <cellStyle name="Normal 4 7 9" xfId="14267"/>
    <cellStyle name="Normal 4 7 9 2" xfId="14268"/>
    <cellStyle name="Normal 4 7 9 2 2" xfId="14269"/>
    <cellStyle name="Normal 4 7 9 3" xfId="14270"/>
    <cellStyle name="Normal 4 8" xfId="14271"/>
    <cellStyle name="Normal 4 8 10" xfId="14272"/>
    <cellStyle name="Normal 4 8 10 2" xfId="14273"/>
    <cellStyle name="Normal 4 8 11" xfId="14274"/>
    <cellStyle name="Normal 4 8 2" xfId="14275"/>
    <cellStyle name="Normal 4 8 2 2" xfId="14276"/>
    <cellStyle name="Normal 4 8 2 2 2" xfId="14277"/>
    <cellStyle name="Normal 4 8 2 2 2 2" xfId="14278"/>
    <cellStyle name="Normal 4 8 2 2 2 2 2" xfId="14279"/>
    <cellStyle name="Normal 4 8 2 2 2 3" xfId="14280"/>
    <cellStyle name="Normal 4 8 2 2 3" xfId="14281"/>
    <cellStyle name="Normal 4 8 2 2 3 2" xfId="14282"/>
    <cellStyle name="Normal 4 8 2 2 3 2 2" xfId="14283"/>
    <cellStyle name="Normal 4 8 2 2 3 3" xfId="14284"/>
    <cellStyle name="Normal 4 8 2 2 4" xfId="14285"/>
    <cellStyle name="Normal 4 8 2 2 4 2" xfId="14286"/>
    <cellStyle name="Normal 4 8 2 2 5" xfId="14287"/>
    <cellStyle name="Normal 4 8 2 3" xfId="14288"/>
    <cellStyle name="Normal 4 8 2 3 2" xfId="14289"/>
    <cellStyle name="Normal 4 8 2 3 2 2" xfId="14290"/>
    <cellStyle name="Normal 4 8 2 3 2 2 2" xfId="14291"/>
    <cellStyle name="Normal 4 8 2 3 2 3" xfId="14292"/>
    <cellStyle name="Normal 4 8 2 3 3" xfId="14293"/>
    <cellStyle name="Normal 4 8 2 3 3 2" xfId="14294"/>
    <cellStyle name="Normal 4 8 2 3 3 2 2" xfId="14295"/>
    <cellStyle name="Normal 4 8 2 3 3 3" xfId="14296"/>
    <cellStyle name="Normal 4 8 2 3 4" xfId="14297"/>
    <cellStyle name="Normal 4 8 2 3 4 2" xfId="14298"/>
    <cellStyle name="Normal 4 8 2 3 5" xfId="14299"/>
    <cellStyle name="Normal 4 8 2 4" xfId="14300"/>
    <cellStyle name="Normal 4 8 2 4 2" xfId="14301"/>
    <cellStyle name="Normal 4 8 2 4 2 2" xfId="14302"/>
    <cellStyle name="Normal 4 8 2 4 2 2 2" xfId="14303"/>
    <cellStyle name="Normal 4 8 2 4 2 3" xfId="14304"/>
    <cellStyle name="Normal 4 8 2 4 3" xfId="14305"/>
    <cellStyle name="Normal 4 8 2 4 3 2" xfId="14306"/>
    <cellStyle name="Normal 4 8 2 4 3 2 2" xfId="14307"/>
    <cellStyle name="Normal 4 8 2 4 3 3" xfId="14308"/>
    <cellStyle name="Normal 4 8 2 4 4" xfId="14309"/>
    <cellStyle name="Normal 4 8 2 4 4 2" xfId="14310"/>
    <cellStyle name="Normal 4 8 2 4 5" xfId="14311"/>
    <cellStyle name="Normal 4 8 2 5" xfId="14312"/>
    <cellStyle name="Normal 4 8 2 5 2" xfId="14313"/>
    <cellStyle name="Normal 4 8 2 5 2 2" xfId="14314"/>
    <cellStyle name="Normal 4 8 2 5 3" xfId="14315"/>
    <cellStyle name="Normal 4 8 2 6" xfId="14316"/>
    <cellStyle name="Normal 4 8 2 6 2" xfId="14317"/>
    <cellStyle name="Normal 4 8 2 6 2 2" xfId="14318"/>
    <cellStyle name="Normal 4 8 2 6 3" xfId="14319"/>
    <cellStyle name="Normal 4 8 2 7" xfId="14320"/>
    <cellStyle name="Normal 4 8 2 7 2" xfId="14321"/>
    <cellStyle name="Normal 4 8 2 8" xfId="14322"/>
    <cellStyle name="Normal 4 8 3" xfId="14323"/>
    <cellStyle name="Normal 4 8 3 2" xfId="14324"/>
    <cellStyle name="Normal 4 8 3 3" xfId="14325"/>
    <cellStyle name="Normal 4 8 3 3 2" xfId="14326"/>
    <cellStyle name="Normal 4 8 3 3 2 2" xfId="14327"/>
    <cellStyle name="Normal 4 8 3 3 3" xfId="14328"/>
    <cellStyle name="Normal 4 8 3 4" xfId="14329"/>
    <cellStyle name="Normal 4 8 3 4 2" xfId="14330"/>
    <cellStyle name="Normal 4 8 3 4 2 2" xfId="14331"/>
    <cellStyle name="Normal 4 8 3 4 3" xfId="14332"/>
    <cellStyle name="Normal 4 8 3 5" xfId="14333"/>
    <cellStyle name="Normal 4 8 3 5 2" xfId="14334"/>
    <cellStyle name="Normal 4 8 3 6" xfId="14335"/>
    <cellStyle name="Normal 4 8 4" xfId="14336"/>
    <cellStyle name="Normal 4 8 4 2" xfId="14337"/>
    <cellStyle name="Normal 4 8 4 2 2" xfId="14338"/>
    <cellStyle name="Normal 4 8 4 2 2 2" xfId="14339"/>
    <cellStyle name="Normal 4 8 4 2 3" xfId="14340"/>
    <cellStyle name="Normal 4 8 4 3" xfId="14341"/>
    <cellStyle name="Normal 4 8 4 3 2" xfId="14342"/>
    <cellStyle name="Normal 4 8 4 3 2 2" xfId="14343"/>
    <cellStyle name="Normal 4 8 4 3 3" xfId="14344"/>
    <cellStyle name="Normal 4 8 4 4" xfId="14345"/>
    <cellStyle name="Normal 4 8 4 4 2" xfId="14346"/>
    <cellStyle name="Normal 4 8 4 5" xfId="14347"/>
    <cellStyle name="Normal 4 8 5" xfId="14348"/>
    <cellStyle name="Normal 4 8 5 2" xfId="14349"/>
    <cellStyle name="Normal 4 8 5 2 2" xfId="14350"/>
    <cellStyle name="Normal 4 8 5 2 2 2" xfId="14351"/>
    <cellStyle name="Normal 4 8 5 2 3" xfId="14352"/>
    <cellStyle name="Normal 4 8 5 3" xfId="14353"/>
    <cellStyle name="Normal 4 8 5 3 2" xfId="14354"/>
    <cellStyle name="Normal 4 8 5 3 2 2" xfId="14355"/>
    <cellStyle name="Normal 4 8 5 3 3" xfId="14356"/>
    <cellStyle name="Normal 4 8 5 4" xfId="14357"/>
    <cellStyle name="Normal 4 8 5 4 2" xfId="14358"/>
    <cellStyle name="Normal 4 8 5 5" xfId="14359"/>
    <cellStyle name="Normal 4 8 6" xfId="14360"/>
    <cellStyle name="Normal 4 8 6 2" xfId="14361"/>
    <cellStyle name="Normal 4 8 6 2 2" xfId="14362"/>
    <cellStyle name="Normal 4 8 6 3" xfId="14363"/>
    <cellStyle name="Normal 4 8 7" xfId="14364"/>
    <cellStyle name="Normal 4 8 7 2" xfId="14365"/>
    <cellStyle name="Normal 4 8 7 2 2" xfId="14366"/>
    <cellStyle name="Normal 4 8 7 3" xfId="14367"/>
    <cellStyle name="Normal 4 8 8" xfId="14368"/>
    <cellStyle name="Normal 4 8 8 2" xfId="14369"/>
    <cellStyle name="Normal 4 8 8 2 2" xfId="14370"/>
    <cellStyle name="Normal 4 8 8 3" xfId="14371"/>
    <cellStyle name="Normal 4 8 9" xfId="14372"/>
    <cellStyle name="Normal 4 8 9 2" xfId="14373"/>
    <cellStyle name="Normal 4 8 9 2 2" xfId="14374"/>
    <cellStyle name="Normal 4 8 9 3" xfId="14375"/>
    <cellStyle name="Normal 4 9" xfId="14376"/>
    <cellStyle name="Normal 4 9 10" xfId="14377"/>
    <cellStyle name="Normal 4 9 2" xfId="14378"/>
    <cellStyle name="Normal 4 9 2 2" xfId="14379"/>
    <cellStyle name="Normal 4 9 2 3" xfId="14380"/>
    <cellStyle name="Normal 4 9 2 3 2" xfId="14381"/>
    <cellStyle name="Normal 4 9 2 3 2 2" xfId="14382"/>
    <cellStyle name="Normal 4 9 2 3 3" xfId="14383"/>
    <cellStyle name="Normal 4 9 2 4" xfId="14384"/>
    <cellStyle name="Normal 4 9 2 4 2" xfId="14385"/>
    <cellStyle name="Normal 4 9 2 4 2 2" xfId="14386"/>
    <cellStyle name="Normal 4 9 2 4 3" xfId="14387"/>
    <cellStyle name="Normal 4 9 2 5" xfId="14388"/>
    <cellStyle name="Normal 4 9 2 5 2" xfId="14389"/>
    <cellStyle name="Normal 4 9 2 6" xfId="14390"/>
    <cellStyle name="Normal 4 9 3" xfId="14391"/>
    <cellStyle name="Normal 4 9 3 2" xfId="14392"/>
    <cellStyle name="Normal 4 9 3 2 2" xfId="14393"/>
    <cellStyle name="Normal 4 9 3 2 2 2" xfId="14394"/>
    <cellStyle name="Normal 4 9 3 2 3" xfId="14395"/>
    <cellStyle name="Normal 4 9 3 3" xfId="14396"/>
    <cellStyle name="Normal 4 9 3 3 2" xfId="14397"/>
    <cellStyle name="Normal 4 9 3 3 2 2" xfId="14398"/>
    <cellStyle name="Normal 4 9 3 3 3" xfId="14399"/>
    <cellStyle name="Normal 4 9 3 4" xfId="14400"/>
    <cellStyle name="Normal 4 9 3 4 2" xfId="14401"/>
    <cellStyle name="Normal 4 9 3 5" xfId="14402"/>
    <cellStyle name="Normal 4 9 4" xfId="14403"/>
    <cellStyle name="Normal 4 9 4 2" xfId="14404"/>
    <cellStyle name="Normal 4 9 4 2 2" xfId="14405"/>
    <cellStyle name="Normal 4 9 4 2 2 2" xfId="14406"/>
    <cellStyle name="Normal 4 9 4 2 3" xfId="14407"/>
    <cellStyle name="Normal 4 9 4 3" xfId="14408"/>
    <cellStyle name="Normal 4 9 4 3 2" xfId="14409"/>
    <cellStyle name="Normal 4 9 4 3 2 2" xfId="14410"/>
    <cellStyle name="Normal 4 9 4 3 3" xfId="14411"/>
    <cellStyle name="Normal 4 9 4 4" xfId="14412"/>
    <cellStyle name="Normal 4 9 4 4 2" xfId="14413"/>
    <cellStyle name="Normal 4 9 4 5" xfId="14414"/>
    <cellStyle name="Normal 4 9 5" xfId="14415"/>
    <cellStyle name="Normal 4 9 5 2" xfId="14416"/>
    <cellStyle name="Normal 4 9 5 2 2" xfId="14417"/>
    <cellStyle name="Normal 4 9 5 3" xfId="14418"/>
    <cellStyle name="Normal 4 9 6" xfId="14419"/>
    <cellStyle name="Normal 4 9 6 2" xfId="14420"/>
    <cellStyle name="Normal 4 9 6 2 2" xfId="14421"/>
    <cellStyle name="Normal 4 9 6 3" xfId="14422"/>
    <cellStyle name="Normal 4 9 7" xfId="14423"/>
    <cellStyle name="Normal 4 9 7 2" xfId="14424"/>
    <cellStyle name="Normal 4 9 7 2 2" xfId="14425"/>
    <cellStyle name="Normal 4 9 7 3" xfId="14426"/>
    <cellStyle name="Normal 4 9 8" xfId="14427"/>
    <cellStyle name="Normal 4 9 8 2" xfId="14428"/>
    <cellStyle name="Normal 4 9 8 2 2" xfId="14429"/>
    <cellStyle name="Normal 4 9 8 3" xfId="14430"/>
    <cellStyle name="Normal 4 9 9" xfId="14431"/>
    <cellStyle name="Normal 4 9 9 2" xfId="14432"/>
    <cellStyle name="Normal 40" xfId="14433"/>
    <cellStyle name="Normal 40 10" xfId="14434"/>
    <cellStyle name="Normal 40 11" xfId="14435"/>
    <cellStyle name="Normal 40 12" xfId="14436"/>
    <cellStyle name="Normal 40 12 2" xfId="14437"/>
    <cellStyle name="Normal 40 12 2 2" xfId="14438"/>
    <cellStyle name="Normal 40 12 3" xfId="14439"/>
    <cellStyle name="Normal 40 2" xfId="14440"/>
    <cellStyle name="Normal 40 2 2" xfId="14441"/>
    <cellStyle name="Normal 40 3" xfId="14442"/>
    <cellStyle name="Normal 40 4" xfId="14443"/>
    <cellStyle name="Normal 40 5" xfId="14444"/>
    <cellStyle name="Normal 40 6" xfId="14445"/>
    <cellStyle name="Normal 40 7" xfId="14446"/>
    <cellStyle name="Normal 40 8" xfId="14447"/>
    <cellStyle name="Normal 40 9" xfId="14448"/>
    <cellStyle name="Normal 41" xfId="14449"/>
    <cellStyle name="Normal 41 10" xfId="14450"/>
    <cellStyle name="Normal 41 11" xfId="14451"/>
    <cellStyle name="Normal 41 12" xfId="14452"/>
    <cellStyle name="Normal 41 13" xfId="14453"/>
    <cellStyle name="Normal 41 13 2" xfId="14454"/>
    <cellStyle name="Normal 41 13 2 2" xfId="14455"/>
    <cellStyle name="Normal 41 13 3" xfId="14456"/>
    <cellStyle name="Normal 41 2" xfId="14457"/>
    <cellStyle name="Normal 41 3" xfId="14458"/>
    <cellStyle name="Normal 41 4" xfId="14459"/>
    <cellStyle name="Normal 41 5" xfId="14460"/>
    <cellStyle name="Normal 41 6" xfId="14461"/>
    <cellStyle name="Normal 41 7" xfId="14462"/>
    <cellStyle name="Normal 41 8" xfId="14463"/>
    <cellStyle name="Normal 41 9" xfId="14464"/>
    <cellStyle name="Normal 42" xfId="14465"/>
    <cellStyle name="Normal 42 10" xfId="14466"/>
    <cellStyle name="Normal 42 11" xfId="14467"/>
    <cellStyle name="Normal 42 12" xfId="14468"/>
    <cellStyle name="Normal 42 13" xfId="14469"/>
    <cellStyle name="Normal 42 13 2" xfId="14470"/>
    <cellStyle name="Normal 42 13 2 2" xfId="14471"/>
    <cellStyle name="Normal 42 13 3" xfId="14472"/>
    <cellStyle name="Normal 42 2" xfId="14473"/>
    <cellStyle name="Normal 42 3" xfId="14474"/>
    <cellStyle name="Normal 42 4" xfId="14475"/>
    <cellStyle name="Normal 42 5" xfId="14476"/>
    <cellStyle name="Normal 42 6" xfId="14477"/>
    <cellStyle name="Normal 42 7" xfId="14478"/>
    <cellStyle name="Normal 42 8" xfId="14479"/>
    <cellStyle name="Normal 42 9" xfId="14480"/>
    <cellStyle name="Normal 43" xfId="14481"/>
    <cellStyle name="Normal 43 10" xfId="14482"/>
    <cellStyle name="Normal 43 11" xfId="14483"/>
    <cellStyle name="Normal 43 12" xfId="14484"/>
    <cellStyle name="Normal 43 12 2" xfId="14485"/>
    <cellStyle name="Normal 43 13" xfId="14486"/>
    <cellStyle name="Normal 43 2" xfId="14487"/>
    <cellStyle name="Normal 43 3" xfId="14488"/>
    <cellStyle name="Normal 43 4" xfId="14489"/>
    <cellStyle name="Normal 43 5" xfId="14490"/>
    <cellStyle name="Normal 43 6" xfId="14491"/>
    <cellStyle name="Normal 43 7" xfId="14492"/>
    <cellStyle name="Normal 43 8" xfId="14493"/>
    <cellStyle name="Normal 43 9" xfId="14494"/>
    <cellStyle name="Normal 44" xfId="14495"/>
    <cellStyle name="Normal 44 10" xfId="14496"/>
    <cellStyle name="Normal 44 11" xfId="14497"/>
    <cellStyle name="Normal 44 12" xfId="14498"/>
    <cellStyle name="Normal 44 12 2" xfId="14499"/>
    <cellStyle name="Normal 44 13" xfId="14500"/>
    <cellStyle name="Normal 44 2" xfId="14501"/>
    <cellStyle name="Normal 44 3" xfId="14502"/>
    <cellStyle name="Normal 44 4" xfId="14503"/>
    <cellStyle name="Normal 44 5" xfId="14504"/>
    <cellStyle name="Normal 44 6" xfId="14505"/>
    <cellStyle name="Normal 44 7" xfId="14506"/>
    <cellStyle name="Normal 44 8" xfId="14507"/>
    <cellStyle name="Normal 44 9" xfId="14508"/>
    <cellStyle name="Normal 45" xfId="14509"/>
    <cellStyle name="Normal 45 10" xfId="14510"/>
    <cellStyle name="Normal 45 11" xfId="14511"/>
    <cellStyle name="Normal 45 12" xfId="14512"/>
    <cellStyle name="Normal 45 12 2" xfId="14513"/>
    <cellStyle name="Normal 45 13" xfId="14514"/>
    <cellStyle name="Normal 45 2" xfId="14515"/>
    <cellStyle name="Normal 45 3" xfId="14516"/>
    <cellStyle name="Normal 45 4" xfId="14517"/>
    <cellStyle name="Normal 45 5" xfId="14518"/>
    <cellStyle name="Normal 45 6" xfId="14519"/>
    <cellStyle name="Normal 45 7" xfId="14520"/>
    <cellStyle name="Normal 45 8" xfId="14521"/>
    <cellStyle name="Normal 45 9" xfId="14522"/>
    <cellStyle name="Normal 46" xfId="14523"/>
    <cellStyle name="Normal 46 10" xfId="14524"/>
    <cellStyle name="Normal 46 11" xfId="14525"/>
    <cellStyle name="Normal 46 12" xfId="14526"/>
    <cellStyle name="Normal 46 12 2" xfId="14527"/>
    <cellStyle name="Normal 46 13" xfId="14528"/>
    <cellStyle name="Normal 46 2" xfId="14529"/>
    <cellStyle name="Normal 46 3" xfId="14530"/>
    <cellStyle name="Normal 46 4" xfId="14531"/>
    <cellStyle name="Normal 46 5" xfId="14532"/>
    <cellStyle name="Normal 46 6" xfId="14533"/>
    <cellStyle name="Normal 46 7" xfId="14534"/>
    <cellStyle name="Normal 46 8" xfId="14535"/>
    <cellStyle name="Normal 46 9" xfId="14536"/>
    <cellStyle name="Normal 47" xfId="14537"/>
    <cellStyle name="Normal 47 10" xfId="14538"/>
    <cellStyle name="Normal 47 11" xfId="14539"/>
    <cellStyle name="Normal 47 12" xfId="14540"/>
    <cellStyle name="Normal 47 12 2" xfId="14541"/>
    <cellStyle name="Normal 47 13" xfId="14542"/>
    <cellStyle name="Normal 47 2" xfId="14543"/>
    <cellStyle name="Normal 47 3" xfId="14544"/>
    <cellStyle name="Normal 47 4" xfId="14545"/>
    <cellStyle name="Normal 47 5" xfId="14546"/>
    <cellStyle name="Normal 47 6" xfId="14547"/>
    <cellStyle name="Normal 47 7" xfId="14548"/>
    <cellStyle name="Normal 47 8" xfId="14549"/>
    <cellStyle name="Normal 47 9" xfId="14550"/>
    <cellStyle name="Normal 48" xfId="14551"/>
    <cellStyle name="Normal 48 10" xfId="14552"/>
    <cellStyle name="Normal 48 11" xfId="14553"/>
    <cellStyle name="Normal 48 2" xfId="14554"/>
    <cellStyle name="Normal 48 3" xfId="14555"/>
    <cellStyle name="Normal 48 4" xfId="14556"/>
    <cellStyle name="Normal 48 5" xfId="14557"/>
    <cellStyle name="Normal 48 6" xfId="14558"/>
    <cellStyle name="Normal 48 7" xfId="14559"/>
    <cellStyle name="Normal 48 8" xfId="14560"/>
    <cellStyle name="Normal 48 9" xfId="14561"/>
    <cellStyle name="Normal 49" xfId="14562"/>
    <cellStyle name="Normal 49 10" xfId="14563"/>
    <cellStyle name="Normal 49 11" xfId="14564"/>
    <cellStyle name="Normal 49 12" xfId="14565"/>
    <cellStyle name="Normal 49 12 2" xfId="14566"/>
    <cellStyle name="Normal 49 13" xfId="14567"/>
    <cellStyle name="Normal 49 2" xfId="14568"/>
    <cellStyle name="Normal 49 3" xfId="14569"/>
    <cellStyle name="Normal 49 4" xfId="14570"/>
    <cellStyle name="Normal 49 5" xfId="14571"/>
    <cellStyle name="Normal 49 6" xfId="14572"/>
    <cellStyle name="Normal 49 7" xfId="14573"/>
    <cellStyle name="Normal 49 8" xfId="14574"/>
    <cellStyle name="Normal 49 9" xfId="14575"/>
    <cellStyle name="Normal 5" xfId="14576"/>
    <cellStyle name="Normal 5 10" xfId="14577"/>
    <cellStyle name="Normal 5 10 2" xfId="14578"/>
    <cellStyle name="Normal 5 11" xfId="14579"/>
    <cellStyle name="Normal 5 11 2" xfId="14580"/>
    <cellStyle name="Normal 5 12" xfId="14581"/>
    <cellStyle name="Normal 5 12 2" xfId="14582"/>
    <cellStyle name="Normal 5 13" xfId="14583"/>
    <cellStyle name="Normal 5 13 2" xfId="14584"/>
    <cellStyle name="Normal 5 14" xfId="14585"/>
    <cellStyle name="Normal 5 14 2" xfId="14586"/>
    <cellStyle name="Normal 5 15" xfId="14587"/>
    <cellStyle name="Normal 5 15 2" xfId="14588"/>
    <cellStyle name="Normal 5 16" xfId="14589"/>
    <cellStyle name="Normal 5 16 2" xfId="14590"/>
    <cellStyle name="Normal 5 17" xfId="14591"/>
    <cellStyle name="Normal 5 17 2" xfId="14592"/>
    <cellStyle name="Normal 5 18" xfId="14593"/>
    <cellStyle name="Normal 5 18 2" xfId="14594"/>
    <cellStyle name="Normal 5 19" xfId="14595"/>
    <cellStyle name="Normal 5 19 2" xfId="14596"/>
    <cellStyle name="Normal 5 2" xfId="14597"/>
    <cellStyle name="Normal 5 2 2" xfId="14598"/>
    <cellStyle name="Normal 5 2 2 2" xfId="14599"/>
    <cellStyle name="Normal 5 2 2 2 2" xfId="14600"/>
    <cellStyle name="Normal 5 2 2 2 2 2" xfId="14601"/>
    <cellStyle name="Normal 5 2 2 2 3" xfId="14602"/>
    <cellStyle name="Normal 5 2 2 3" xfId="14603"/>
    <cellStyle name="Normal 5 2 2 3 2" xfId="14604"/>
    <cellStyle name="Normal 5 2 2 4" xfId="14605"/>
    <cellStyle name="Normal 5 2 3" xfId="14606"/>
    <cellStyle name="Normal 5 2 4" xfId="14607"/>
    <cellStyle name="Normal 5 20" xfId="14608"/>
    <cellStyle name="Normal 5 20 2" xfId="14609"/>
    <cellStyle name="Normal 5 21" xfId="14610"/>
    <cellStyle name="Normal 5 21 2" xfId="14611"/>
    <cellStyle name="Normal 5 22" xfId="14612"/>
    <cellStyle name="Normal 5 22 2" xfId="14613"/>
    <cellStyle name="Normal 5 23" xfId="14614"/>
    <cellStyle name="Normal 5 23 2" xfId="14615"/>
    <cellStyle name="Normal 5 24" xfId="14616"/>
    <cellStyle name="Normal 5 24 2" xfId="14617"/>
    <cellStyle name="Normal 5 25" xfId="14618"/>
    <cellStyle name="Normal 5 25 2" xfId="14619"/>
    <cellStyle name="Normal 5 26" xfId="14620"/>
    <cellStyle name="Normal 5 26 2" xfId="14621"/>
    <cellStyle name="Normal 5 27" xfId="14622"/>
    <cellStyle name="Normal 5 27 2" xfId="14623"/>
    <cellStyle name="Normal 5 28" xfId="14624"/>
    <cellStyle name="Normal 5 28 2" xfId="14625"/>
    <cellStyle name="Normal 5 29" xfId="14626"/>
    <cellStyle name="Normal 5 29 2" xfId="14627"/>
    <cellStyle name="Normal 5 3" xfId="14628"/>
    <cellStyle name="Normal 5 3 2" xfId="14629"/>
    <cellStyle name="Normal 5 3 3" xfId="14630"/>
    <cellStyle name="Normal 5 30" xfId="14631"/>
    <cellStyle name="Normal 5 30 2" xfId="14632"/>
    <cellStyle name="Normal 5 31" xfId="14633"/>
    <cellStyle name="Normal 5 31 2" xfId="14634"/>
    <cellStyle name="Normal 5 32" xfId="14635"/>
    <cellStyle name="Normal 5 32 2" xfId="14636"/>
    <cellStyle name="Normal 5 33" xfId="14637"/>
    <cellStyle name="Normal 5 33 2" xfId="14638"/>
    <cellStyle name="Normal 5 34" xfId="14639"/>
    <cellStyle name="Normal 5 34 2" xfId="14640"/>
    <cellStyle name="Normal 5 35" xfId="14641"/>
    <cellStyle name="Normal 5 36" xfId="18663"/>
    <cellStyle name="Normal 5 4" xfId="14642"/>
    <cellStyle name="Normal 5 4 2" xfId="14643"/>
    <cellStyle name="Normal 5 5" xfId="14644"/>
    <cellStyle name="Normal 5 5 2" xfId="14645"/>
    <cellStyle name="Normal 5 6" xfId="14646"/>
    <cellStyle name="Normal 5 6 2" xfId="14647"/>
    <cellStyle name="Normal 5 7" xfId="14648"/>
    <cellStyle name="Normal 5 7 2" xfId="14649"/>
    <cellStyle name="Normal 5 8" xfId="14650"/>
    <cellStyle name="Normal 5 8 2" xfId="14651"/>
    <cellStyle name="Normal 5 9" xfId="14652"/>
    <cellStyle name="Normal 5 9 2" xfId="14653"/>
    <cellStyle name="Normal 50" xfId="14654"/>
    <cellStyle name="Normal 50 10" xfId="14655"/>
    <cellStyle name="Normal 50 11" xfId="14656"/>
    <cellStyle name="Normal 50 12" xfId="14657"/>
    <cellStyle name="Normal 50 12 2" xfId="14658"/>
    <cellStyle name="Normal 50 13" xfId="14659"/>
    <cellStyle name="Normal 50 2" xfId="14660"/>
    <cellStyle name="Normal 50 3" xfId="14661"/>
    <cellStyle name="Normal 50 4" xfId="14662"/>
    <cellStyle name="Normal 50 5" xfId="14663"/>
    <cellStyle name="Normal 50 6" xfId="14664"/>
    <cellStyle name="Normal 50 7" xfId="14665"/>
    <cellStyle name="Normal 50 8" xfId="14666"/>
    <cellStyle name="Normal 50 9" xfId="14667"/>
    <cellStyle name="Normal 51" xfId="14668"/>
    <cellStyle name="Normal 51 10" xfId="14669"/>
    <cellStyle name="Normal 51 11" xfId="14670"/>
    <cellStyle name="Normal 51 12" xfId="14671"/>
    <cellStyle name="Normal 51 12 2" xfId="14672"/>
    <cellStyle name="Normal 51 13" xfId="14673"/>
    <cellStyle name="Normal 51 2" xfId="14674"/>
    <cellStyle name="Normal 51 3" xfId="14675"/>
    <cellStyle name="Normal 51 4" xfId="14676"/>
    <cellStyle name="Normal 51 5" xfId="14677"/>
    <cellStyle name="Normal 51 6" xfId="14678"/>
    <cellStyle name="Normal 51 7" xfId="14679"/>
    <cellStyle name="Normal 51 8" xfId="14680"/>
    <cellStyle name="Normal 51 9" xfId="14681"/>
    <cellStyle name="Normal 52" xfId="14682"/>
    <cellStyle name="Normal 52 10" xfId="14683"/>
    <cellStyle name="Normal 52 11" xfId="14684"/>
    <cellStyle name="Normal 52 12" xfId="14685"/>
    <cellStyle name="Normal 52 12 2" xfId="14686"/>
    <cellStyle name="Normal 52 13" xfId="14687"/>
    <cellStyle name="Normal 52 2" xfId="14688"/>
    <cellStyle name="Normal 52 3" xfId="14689"/>
    <cellStyle name="Normal 52 4" xfId="14690"/>
    <cellStyle name="Normal 52 5" xfId="14691"/>
    <cellStyle name="Normal 52 6" xfId="14692"/>
    <cellStyle name="Normal 52 7" xfId="14693"/>
    <cellStyle name="Normal 52 8" xfId="14694"/>
    <cellStyle name="Normal 52 9" xfId="14695"/>
    <cellStyle name="Normal 53" xfId="14696"/>
    <cellStyle name="Normal 53 10" xfId="14697"/>
    <cellStyle name="Normal 53 11" xfId="14698"/>
    <cellStyle name="Normal 53 12" xfId="14699"/>
    <cellStyle name="Normal 53 12 2" xfId="14700"/>
    <cellStyle name="Normal 53 13" xfId="14701"/>
    <cellStyle name="Normal 53 2" xfId="14702"/>
    <cellStyle name="Normal 53 3" xfId="14703"/>
    <cellStyle name="Normal 53 4" xfId="14704"/>
    <cellStyle name="Normal 53 5" xfId="14705"/>
    <cellStyle name="Normal 53 6" xfId="14706"/>
    <cellStyle name="Normal 53 7" xfId="14707"/>
    <cellStyle name="Normal 53 8" xfId="14708"/>
    <cellStyle name="Normal 53 9" xfId="14709"/>
    <cellStyle name="Normal 54" xfId="14710"/>
    <cellStyle name="Normal 54 10" xfId="14711"/>
    <cellStyle name="Normal 54 2" xfId="14712"/>
    <cellStyle name="Normal 54 3" xfId="14713"/>
    <cellStyle name="Normal 54 4" xfId="14714"/>
    <cellStyle name="Normal 54 5" xfId="14715"/>
    <cellStyle name="Normal 54 6" xfId="14716"/>
    <cellStyle name="Normal 54 7" xfId="14717"/>
    <cellStyle name="Normal 54 8" xfId="14718"/>
    <cellStyle name="Normal 54 9" xfId="14719"/>
    <cellStyle name="Normal 55" xfId="14720"/>
    <cellStyle name="Normal 55 10" xfId="14721"/>
    <cellStyle name="Normal 55 2" xfId="14722"/>
    <cellStyle name="Normal 55 3" xfId="14723"/>
    <cellStyle name="Normal 55 4" xfId="14724"/>
    <cellStyle name="Normal 55 5" xfId="14725"/>
    <cellStyle name="Normal 55 6" xfId="14726"/>
    <cellStyle name="Normal 55 7" xfId="14727"/>
    <cellStyle name="Normal 55 8" xfId="14728"/>
    <cellStyle name="Normal 55 9" xfId="14729"/>
    <cellStyle name="Normal 56" xfId="14730"/>
    <cellStyle name="Normal 56 2" xfId="14731"/>
    <cellStyle name="Normal 56 3" xfId="14732"/>
    <cellStyle name="Normal 56 4" xfId="14733"/>
    <cellStyle name="Normal 56 5" xfId="14734"/>
    <cellStyle name="Normal 56 6" xfId="14735"/>
    <cellStyle name="Normal 56 7" xfId="14736"/>
    <cellStyle name="Normal 56 8" xfId="14737"/>
    <cellStyle name="Normal 56 9" xfId="14738"/>
    <cellStyle name="Normal 57" xfId="14739"/>
    <cellStyle name="Normal 57 10" xfId="14740"/>
    <cellStyle name="Normal 57 11" xfId="14741"/>
    <cellStyle name="Normal 57 11 2" xfId="14742"/>
    <cellStyle name="Normal 57 12" xfId="14743"/>
    <cellStyle name="Normal 57 2" xfId="14744"/>
    <cellStyle name="Normal 57 3" xfId="14745"/>
    <cellStyle name="Normal 57 4" xfId="14746"/>
    <cellStyle name="Normal 57 5" xfId="14747"/>
    <cellStyle name="Normal 57 6" xfId="14748"/>
    <cellStyle name="Normal 57 7" xfId="14749"/>
    <cellStyle name="Normal 57 8" xfId="14750"/>
    <cellStyle name="Normal 57 9" xfId="14751"/>
    <cellStyle name="Normal 58" xfId="14752"/>
    <cellStyle name="Normal 58 10" xfId="14753"/>
    <cellStyle name="Normal 58 11" xfId="14754"/>
    <cellStyle name="Normal 58 11 2" xfId="14755"/>
    <cellStyle name="Normal 58 12" xfId="14756"/>
    <cellStyle name="Normal 58 2" xfId="14757"/>
    <cellStyle name="Normal 58 3" xfId="14758"/>
    <cellStyle name="Normal 58 4" xfId="14759"/>
    <cellStyle name="Normal 58 5" xfId="14760"/>
    <cellStyle name="Normal 58 6" xfId="14761"/>
    <cellStyle name="Normal 58 7" xfId="14762"/>
    <cellStyle name="Normal 58 8" xfId="14763"/>
    <cellStyle name="Normal 58 9" xfId="14764"/>
    <cellStyle name="Normal 59" xfId="14765"/>
    <cellStyle name="Normal 59 2" xfId="14766"/>
    <cellStyle name="Normal 59 3" xfId="14767"/>
    <cellStyle name="Normal 59 3 2" xfId="14768"/>
    <cellStyle name="Normal 59 4" xfId="14769"/>
    <cellStyle name="Normal 6" xfId="14770"/>
    <cellStyle name="Normal 6 10" xfId="14771"/>
    <cellStyle name="Normal 6 11" xfId="14772"/>
    <cellStyle name="Normal 6 12" xfId="14773"/>
    <cellStyle name="Normal 6 13" xfId="14774"/>
    <cellStyle name="Normal 6 14" xfId="14775"/>
    <cellStyle name="Normal 6 15" xfId="14776"/>
    <cellStyle name="Normal 6 16" xfId="14777"/>
    <cellStyle name="Normal 6 17" xfId="14778"/>
    <cellStyle name="Normal 6 18" xfId="14779"/>
    <cellStyle name="Normal 6 19" xfId="14780"/>
    <cellStyle name="Normal 6 2" xfId="14781"/>
    <cellStyle name="Normal 6 2 2" xfId="14782"/>
    <cellStyle name="Normal 6 2 2 2" xfId="14783"/>
    <cellStyle name="Normal 6 2 2 2 2" xfId="14784"/>
    <cellStyle name="Normal 6 2 2 2 2 2" xfId="14785"/>
    <cellStyle name="Normal 6 2 2 2 3" xfId="14786"/>
    <cellStyle name="Normal 6 2 2 3" xfId="14787"/>
    <cellStyle name="Normal 6 2 2 3 2" xfId="14788"/>
    <cellStyle name="Normal 6 2 2 4" xfId="14789"/>
    <cellStyle name="Normal 6 2 3" xfId="14790"/>
    <cellStyle name="Normal 6 20" xfId="14791"/>
    <cellStyle name="Normal 6 21" xfId="14792"/>
    <cellStyle name="Normal 6 22" xfId="14793"/>
    <cellStyle name="Normal 6 23" xfId="14794"/>
    <cellStyle name="Normal 6 24" xfId="14795"/>
    <cellStyle name="Normal 6 25" xfId="14796"/>
    <cellStyle name="Normal 6 26" xfId="14797"/>
    <cellStyle name="Normal 6 27" xfId="14798"/>
    <cellStyle name="Normal 6 28" xfId="14799"/>
    <cellStyle name="Normal 6 29" xfId="14800"/>
    <cellStyle name="Normal 6 3" xfId="14801"/>
    <cellStyle name="Normal 6 30" xfId="14802"/>
    <cellStyle name="Normal 6 31" xfId="14803"/>
    <cellStyle name="Normal 6 32" xfId="14804"/>
    <cellStyle name="Normal 6 33" xfId="14805"/>
    <cellStyle name="Normal 6 34" xfId="14806"/>
    <cellStyle name="Normal 6 35" xfId="14807"/>
    <cellStyle name="Normal 6 36" xfId="14808"/>
    <cellStyle name="Normal 6 37" xfId="14809"/>
    <cellStyle name="Normal 6 38" xfId="14810"/>
    <cellStyle name="Normal 6 39" xfId="14811"/>
    <cellStyle name="Normal 6 4" xfId="14812"/>
    <cellStyle name="Normal 6 40" xfId="14813"/>
    <cellStyle name="Normal 6 41" xfId="14814"/>
    <cellStyle name="Normal 6 42" xfId="14815"/>
    <cellStyle name="Normal 6 43" xfId="14816"/>
    <cellStyle name="Normal 6 44" xfId="14817"/>
    <cellStyle name="Normal 6 45" xfId="14818"/>
    <cellStyle name="Normal 6 46" xfId="14819"/>
    <cellStyle name="Normal 6 47" xfId="14820"/>
    <cellStyle name="Normal 6 48" xfId="14821"/>
    <cellStyle name="Normal 6 49" xfId="14822"/>
    <cellStyle name="Normal 6 5" xfId="14823"/>
    <cellStyle name="Normal 6 50" xfId="14824"/>
    <cellStyle name="Normal 6 51" xfId="14825"/>
    <cellStyle name="Normal 6 52" xfId="14826"/>
    <cellStyle name="Normal 6 53" xfId="14827"/>
    <cellStyle name="Normal 6 54" xfId="14828"/>
    <cellStyle name="Normal 6 55" xfId="14829"/>
    <cellStyle name="Normal 6 56" xfId="14830"/>
    <cellStyle name="Normal 6 57" xfId="14831"/>
    <cellStyle name="Normal 6 58" xfId="18529"/>
    <cellStyle name="Normal 6 6" xfId="14832"/>
    <cellStyle name="Normal 6 7" xfId="14833"/>
    <cellStyle name="Normal 6 8" xfId="14834"/>
    <cellStyle name="Normal 6 9" xfId="14835"/>
    <cellStyle name="Normal 60" xfId="14836"/>
    <cellStyle name="Normal 60 2" xfId="14837"/>
    <cellStyle name="Normal 60 3" xfId="14838"/>
    <cellStyle name="Normal 60 3 2" xfId="14839"/>
    <cellStyle name="Normal 60 4" xfId="14840"/>
    <cellStyle name="Normal 61" xfId="14841"/>
    <cellStyle name="Normal 62" xfId="14842"/>
    <cellStyle name="Normal 63" xfId="14843"/>
    <cellStyle name="Normal 64" xfId="14844"/>
    <cellStyle name="Normal 65" xfId="14845"/>
    <cellStyle name="Normal 66" xfId="14846"/>
    <cellStyle name="Normal 67" xfId="14847"/>
    <cellStyle name="Normal 68" xfId="14848"/>
    <cellStyle name="Normal 69" xfId="14849"/>
    <cellStyle name="Normal 7" xfId="14850"/>
    <cellStyle name="Normal 7 10" xfId="14851"/>
    <cellStyle name="Normal 7 11" xfId="14852"/>
    <cellStyle name="Normal 7 12" xfId="14853"/>
    <cellStyle name="Normal 7 13" xfId="14854"/>
    <cellStyle name="Normal 7 14" xfId="14855"/>
    <cellStyle name="Normal 7 15" xfId="14856"/>
    <cellStyle name="Normal 7 16" xfId="14857"/>
    <cellStyle name="Normal 7 17" xfId="14858"/>
    <cellStyle name="Normal 7 18" xfId="14859"/>
    <cellStyle name="Normal 7 19" xfId="14860"/>
    <cellStyle name="Normal 7 2" xfId="14861"/>
    <cellStyle name="Normal 7 2 2" xfId="14862"/>
    <cellStyle name="Normal 7 2 2 2" xfId="14863"/>
    <cellStyle name="Normal 7 2 2 2 2" xfId="14864"/>
    <cellStyle name="Normal 7 2 2 2 2 2" xfId="14865"/>
    <cellStyle name="Normal 7 2 2 2 3" xfId="14866"/>
    <cellStyle name="Normal 7 2 2 3" xfId="14867"/>
    <cellStyle name="Normal 7 2 2 3 2" xfId="14868"/>
    <cellStyle name="Normal 7 2 2 4" xfId="14869"/>
    <cellStyle name="Normal 7 2 3" xfId="14870"/>
    <cellStyle name="Normal 7 20" xfId="14871"/>
    <cellStyle name="Normal 7 21" xfId="14872"/>
    <cellStyle name="Normal 7 22" xfId="14873"/>
    <cellStyle name="Normal 7 23" xfId="14874"/>
    <cellStyle name="Normal 7 24" xfId="14875"/>
    <cellStyle name="Normal 7 25" xfId="14876"/>
    <cellStyle name="Normal 7 26" xfId="14877"/>
    <cellStyle name="Normal 7 27" xfId="14878"/>
    <cellStyle name="Normal 7 28" xfId="14879"/>
    <cellStyle name="Normal 7 29" xfId="14880"/>
    <cellStyle name="Normal 7 3" xfId="14881"/>
    <cellStyle name="Normal 7 30" xfId="14882"/>
    <cellStyle name="Normal 7 31" xfId="14883"/>
    <cellStyle name="Normal 7 32" xfId="14884"/>
    <cellStyle name="Normal 7 33" xfId="14885"/>
    <cellStyle name="Normal 7 34" xfId="14886"/>
    <cellStyle name="Normal 7 35" xfId="14887"/>
    <cellStyle name="Normal 7 36" xfId="14888"/>
    <cellStyle name="Normal 7 37" xfId="14889"/>
    <cellStyle name="Normal 7 38" xfId="14890"/>
    <cellStyle name="Normal 7 39" xfId="14891"/>
    <cellStyle name="Normal 7 4" xfId="14892"/>
    <cellStyle name="Normal 7 40" xfId="14893"/>
    <cellStyle name="Normal 7 41" xfId="14894"/>
    <cellStyle name="Normal 7 42" xfId="14895"/>
    <cellStyle name="Normal 7 43" xfId="14896"/>
    <cellStyle name="Normal 7 44" xfId="14897"/>
    <cellStyle name="Normal 7 45" xfId="14898"/>
    <cellStyle name="Normal 7 46" xfId="14899"/>
    <cellStyle name="Normal 7 47" xfId="14900"/>
    <cellStyle name="Normal 7 48" xfId="14901"/>
    <cellStyle name="Normal 7 49" xfId="14902"/>
    <cellStyle name="Normal 7 5" xfId="14903"/>
    <cellStyle name="Normal 7 50" xfId="14904"/>
    <cellStyle name="Normal 7 51" xfId="14905"/>
    <cellStyle name="Normal 7 52" xfId="14906"/>
    <cellStyle name="Normal 7 53" xfId="14907"/>
    <cellStyle name="Normal 7 54" xfId="14908"/>
    <cellStyle name="Normal 7 55" xfId="14909"/>
    <cellStyle name="Normal 7 56" xfId="14910"/>
    <cellStyle name="Normal 7 57" xfId="14911"/>
    <cellStyle name="Normal 7 58" xfId="14912"/>
    <cellStyle name="Normal 7 59" xfId="18530"/>
    <cellStyle name="Normal 7 6" xfId="14913"/>
    <cellStyle name="Normal 7 7" xfId="14914"/>
    <cellStyle name="Normal 7 8" xfId="14915"/>
    <cellStyle name="Normal 7 9" xfId="14916"/>
    <cellStyle name="Normal 70" xfId="14917"/>
    <cellStyle name="Normal 71" xfId="14918"/>
    <cellStyle name="Normal 72" xfId="14919"/>
    <cellStyle name="Normal 73" xfId="14920"/>
    <cellStyle name="Normal 74" xfId="14921"/>
    <cellStyle name="Normal 74 2" xfId="14922"/>
    <cellStyle name="Normal 75" xfId="14923"/>
    <cellStyle name="Normal 75 2" xfId="18531"/>
    <cellStyle name="Normal 76" xfId="14924"/>
    <cellStyle name="Normal 76 2" xfId="18532"/>
    <cellStyle name="Normal 77" xfId="14925"/>
    <cellStyle name="Normal 77 2" xfId="18533"/>
    <cellStyle name="Normal 78" xfId="14926"/>
    <cellStyle name="Normal 78 2" xfId="18534"/>
    <cellStyle name="Normal 79" xfId="14927"/>
    <cellStyle name="Normal 79 2" xfId="18535"/>
    <cellStyle name="Normal 8" xfId="14928"/>
    <cellStyle name="Normal 8 10" xfId="14929"/>
    <cellStyle name="Normal 8 11" xfId="14930"/>
    <cellStyle name="Normal 8 12" xfId="14931"/>
    <cellStyle name="Normal 8 13" xfId="14932"/>
    <cellStyle name="Normal 8 14" xfId="14933"/>
    <cellStyle name="Normal 8 15" xfId="14934"/>
    <cellStyle name="Normal 8 16" xfId="14935"/>
    <cellStyle name="Normal 8 17" xfId="14936"/>
    <cellStyle name="Normal 8 18" xfId="14937"/>
    <cellStyle name="Normal 8 18 2" xfId="14938"/>
    <cellStyle name="Normal 8 18 2 2" xfId="14939"/>
    <cellStyle name="Normal 8 18 2 2 2" xfId="14940"/>
    <cellStyle name="Normal 8 18 2 3" xfId="14941"/>
    <cellStyle name="Normal 8 18 3" xfId="14942"/>
    <cellStyle name="Normal 8 18 3 2" xfId="14943"/>
    <cellStyle name="Normal 8 18 3 2 2" xfId="14944"/>
    <cellStyle name="Normal 8 18 3 3" xfId="14945"/>
    <cellStyle name="Normal 8 18 4" xfId="14946"/>
    <cellStyle name="Normal 8 18 4 2" xfId="14947"/>
    <cellStyle name="Normal 8 18 5" xfId="14948"/>
    <cellStyle name="Normal 8 19" xfId="14949"/>
    <cellStyle name="Normal 8 2" xfId="14950"/>
    <cellStyle name="Normal 8 2 10" xfId="14951"/>
    <cellStyle name="Normal 8 2 10 2" xfId="14952"/>
    <cellStyle name="Normal 8 2 11" xfId="14953"/>
    <cellStyle name="Normal 8 2 2" xfId="14954"/>
    <cellStyle name="Normal 8 2 2 2" xfId="14955"/>
    <cellStyle name="Normal 8 2 2 2 2" xfId="14956"/>
    <cellStyle name="Normal 8 2 2 2 2 2" xfId="14957"/>
    <cellStyle name="Normal 8 2 2 2 2 2 2" xfId="14958"/>
    <cellStyle name="Normal 8 2 2 2 2 3" xfId="14959"/>
    <cellStyle name="Normal 8 2 2 2 3" xfId="14960"/>
    <cellStyle name="Normal 8 2 2 2 3 2" xfId="14961"/>
    <cellStyle name="Normal 8 2 2 2 3 2 2" xfId="14962"/>
    <cellStyle name="Normal 8 2 2 2 3 3" xfId="14963"/>
    <cellStyle name="Normal 8 2 2 2 4" xfId="14964"/>
    <cellStyle name="Normal 8 2 2 2 4 2" xfId="14965"/>
    <cellStyle name="Normal 8 2 2 2 5" xfId="14966"/>
    <cellStyle name="Normal 8 2 2 3" xfId="14967"/>
    <cellStyle name="Normal 8 2 2 3 2" xfId="14968"/>
    <cellStyle name="Normal 8 2 2 3 2 2" xfId="14969"/>
    <cellStyle name="Normal 8 2 2 3 2 2 2" xfId="14970"/>
    <cellStyle name="Normal 8 2 2 3 2 3" xfId="14971"/>
    <cellStyle name="Normal 8 2 2 3 3" xfId="14972"/>
    <cellStyle name="Normal 8 2 2 3 3 2" xfId="14973"/>
    <cellStyle name="Normal 8 2 2 3 3 2 2" xfId="14974"/>
    <cellStyle name="Normal 8 2 2 3 3 3" xfId="14975"/>
    <cellStyle name="Normal 8 2 2 3 4" xfId="14976"/>
    <cellStyle name="Normal 8 2 2 3 4 2" xfId="14977"/>
    <cellStyle name="Normal 8 2 2 3 5" xfId="14978"/>
    <cellStyle name="Normal 8 2 2 4" xfId="14979"/>
    <cellStyle name="Normal 8 2 2 4 2" xfId="14980"/>
    <cellStyle name="Normal 8 2 2 4 2 2" xfId="14981"/>
    <cellStyle name="Normal 8 2 2 4 2 2 2" xfId="14982"/>
    <cellStyle name="Normal 8 2 2 4 2 3" xfId="14983"/>
    <cellStyle name="Normal 8 2 2 4 3" xfId="14984"/>
    <cellStyle name="Normal 8 2 2 4 3 2" xfId="14985"/>
    <cellStyle name="Normal 8 2 2 4 3 2 2" xfId="14986"/>
    <cellStyle name="Normal 8 2 2 4 3 3" xfId="14987"/>
    <cellStyle name="Normal 8 2 2 4 4" xfId="14988"/>
    <cellStyle name="Normal 8 2 2 4 4 2" xfId="14989"/>
    <cellStyle name="Normal 8 2 2 4 5" xfId="14990"/>
    <cellStyle name="Normal 8 2 2 5" xfId="14991"/>
    <cellStyle name="Normal 8 2 2 5 2" xfId="14992"/>
    <cellStyle name="Normal 8 2 2 5 2 2" xfId="14993"/>
    <cellStyle name="Normal 8 2 2 5 3" xfId="14994"/>
    <cellStyle name="Normal 8 2 2 6" xfId="14995"/>
    <cellStyle name="Normal 8 2 2 6 2" xfId="14996"/>
    <cellStyle name="Normal 8 2 2 6 2 2" xfId="14997"/>
    <cellStyle name="Normal 8 2 2 6 3" xfId="14998"/>
    <cellStyle name="Normal 8 2 2 7" xfId="14999"/>
    <cellStyle name="Normal 8 2 2 7 2" xfId="15000"/>
    <cellStyle name="Normal 8 2 2 8" xfId="15001"/>
    <cellStyle name="Normal 8 2 3" xfId="15002"/>
    <cellStyle name="Normal 8 2 3 2" xfId="15003"/>
    <cellStyle name="Normal 8 2 3 3" xfId="15004"/>
    <cellStyle name="Normal 8 2 3 3 2" xfId="15005"/>
    <cellStyle name="Normal 8 2 3 3 2 2" xfId="15006"/>
    <cellStyle name="Normal 8 2 3 3 3" xfId="15007"/>
    <cellStyle name="Normal 8 2 3 4" xfId="15008"/>
    <cellStyle name="Normal 8 2 3 4 2" xfId="15009"/>
    <cellStyle name="Normal 8 2 3 4 2 2" xfId="15010"/>
    <cellStyle name="Normal 8 2 3 4 3" xfId="15011"/>
    <cellStyle name="Normal 8 2 3 5" xfId="15012"/>
    <cellStyle name="Normal 8 2 3 5 2" xfId="15013"/>
    <cellStyle name="Normal 8 2 3 6" xfId="15014"/>
    <cellStyle name="Normal 8 2 4" xfId="15015"/>
    <cellStyle name="Normal 8 2 4 2" xfId="15016"/>
    <cellStyle name="Normal 8 2 4 2 2" xfId="15017"/>
    <cellStyle name="Normal 8 2 4 2 2 2" xfId="15018"/>
    <cellStyle name="Normal 8 2 4 2 3" xfId="15019"/>
    <cellStyle name="Normal 8 2 4 3" xfId="15020"/>
    <cellStyle name="Normal 8 2 4 3 2" xfId="15021"/>
    <cellStyle name="Normal 8 2 4 3 2 2" xfId="15022"/>
    <cellStyle name="Normal 8 2 4 3 3" xfId="15023"/>
    <cellStyle name="Normal 8 2 4 4" xfId="15024"/>
    <cellStyle name="Normal 8 2 4 4 2" xfId="15025"/>
    <cellStyle name="Normal 8 2 4 5" xfId="15026"/>
    <cellStyle name="Normal 8 2 5" xfId="15027"/>
    <cellStyle name="Normal 8 2 5 2" xfId="15028"/>
    <cellStyle name="Normal 8 2 5 2 2" xfId="15029"/>
    <cellStyle name="Normal 8 2 5 2 2 2" xfId="15030"/>
    <cellStyle name="Normal 8 2 5 2 3" xfId="15031"/>
    <cellStyle name="Normal 8 2 5 3" xfId="15032"/>
    <cellStyle name="Normal 8 2 5 3 2" xfId="15033"/>
    <cellStyle name="Normal 8 2 5 3 2 2" xfId="15034"/>
    <cellStyle name="Normal 8 2 5 3 3" xfId="15035"/>
    <cellStyle name="Normal 8 2 5 4" xfId="15036"/>
    <cellStyle name="Normal 8 2 5 4 2" xfId="15037"/>
    <cellStyle name="Normal 8 2 5 5" xfId="15038"/>
    <cellStyle name="Normal 8 2 6" xfId="15039"/>
    <cellStyle name="Normal 8 2 6 2" xfId="15040"/>
    <cellStyle name="Normal 8 2 6 2 2" xfId="15041"/>
    <cellStyle name="Normal 8 2 6 3" xfId="15042"/>
    <cellStyle name="Normal 8 2 7" xfId="15043"/>
    <cellStyle name="Normal 8 2 7 2" xfId="15044"/>
    <cellStyle name="Normal 8 2 7 2 2" xfId="15045"/>
    <cellStyle name="Normal 8 2 7 3" xfId="15046"/>
    <cellStyle name="Normal 8 2 8" xfId="15047"/>
    <cellStyle name="Normal 8 2 8 2" xfId="15048"/>
    <cellStyle name="Normal 8 2 8 2 2" xfId="15049"/>
    <cellStyle name="Normal 8 2 8 3" xfId="15050"/>
    <cellStyle name="Normal 8 2 9" xfId="15051"/>
    <cellStyle name="Normal 8 2 9 2" xfId="15052"/>
    <cellStyle name="Normal 8 2 9 2 2" xfId="15053"/>
    <cellStyle name="Normal 8 2 9 3" xfId="15054"/>
    <cellStyle name="Normal 8 20" xfId="15055"/>
    <cellStyle name="Normal 8 20 2" xfId="15056"/>
    <cellStyle name="Normal 8 20 2 2" xfId="15057"/>
    <cellStyle name="Normal 8 20 3" xfId="15058"/>
    <cellStyle name="Normal 8 21" xfId="15059"/>
    <cellStyle name="Normal 8 21 2" xfId="15060"/>
    <cellStyle name="Normal 8 21 2 2" xfId="15061"/>
    <cellStyle name="Normal 8 21 3" xfId="15062"/>
    <cellStyle name="Normal 8 22" xfId="15063"/>
    <cellStyle name="Normal 8 22 2" xfId="15064"/>
    <cellStyle name="Normal 8 23" xfId="18536"/>
    <cellStyle name="Normal 8 3" xfId="15065"/>
    <cellStyle name="Normal 8 3 10" xfId="15066"/>
    <cellStyle name="Normal 8 3 10 2" xfId="15067"/>
    <cellStyle name="Normal 8 3 11" xfId="15068"/>
    <cellStyle name="Normal 8 3 2" xfId="15069"/>
    <cellStyle name="Normal 8 3 2 2" xfId="15070"/>
    <cellStyle name="Normal 8 3 2 2 2" xfId="15071"/>
    <cellStyle name="Normal 8 3 2 2 2 2" xfId="15072"/>
    <cellStyle name="Normal 8 3 2 2 2 2 2" xfId="15073"/>
    <cellStyle name="Normal 8 3 2 2 2 3" xfId="15074"/>
    <cellStyle name="Normal 8 3 2 2 3" xfId="15075"/>
    <cellStyle name="Normal 8 3 2 2 3 2" xfId="15076"/>
    <cellStyle name="Normal 8 3 2 2 3 2 2" xfId="15077"/>
    <cellStyle name="Normal 8 3 2 2 3 3" xfId="15078"/>
    <cellStyle name="Normal 8 3 2 2 4" xfId="15079"/>
    <cellStyle name="Normal 8 3 2 2 4 2" xfId="15080"/>
    <cellStyle name="Normal 8 3 2 2 5" xfId="15081"/>
    <cellStyle name="Normal 8 3 2 3" xfId="15082"/>
    <cellStyle name="Normal 8 3 2 3 2" xfId="15083"/>
    <cellStyle name="Normal 8 3 2 3 2 2" xfId="15084"/>
    <cellStyle name="Normal 8 3 2 3 2 2 2" xfId="15085"/>
    <cellStyle name="Normal 8 3 2 3 2 3" xfId="15086"/>
    <cellStyle name="Normal 8 3 2 3 3" xfId="15087"/>
    <cellStyle name="Normal 8 3 2 3 3 2" xfId="15088"/>
    <cellStyle name="Normal 8 3 2 3 3 2 2" xfId="15089"/>
    <cellStyle name="Normal 8 3 2 3 3 3" xfId="15090"/>
    <cellStyle name="Normal 8 3 2 3 4" xfId="15091"/>
    <cellStyle name="Normal 8 3 2 3 4 2" xfId="15092"/>
    <cellStyle name="Normal 8 3 2 3 5" xfId="15093"/>
    <cellStyle name="Normal 8 3 2 4" xfId="15094"/>
    <cellStyle name="Normal 8 3 2 4 2" xfId="15095"/>
    <cellStyle name="Normal 8 3 2 4 2 2" xfId="15096"/>
    <cellStyle name="Normal 8 3 2 4 2 2 2" xfId="15097"/>
    <cellStyle name="Normal 8 3 2 4 2 3" xfId="15098"/>
    <cellStyle name="Normal 8 3 2 4 3" xfId="15099"/>
    <cellStyle name="Normal 8 3 2 4 3 2" xfId="15100"/>
    <cellStyle name="Normal 8 3 2 4 3 2 2" xfId="15101"/>
    <cellStyle name="Normal 8 3 2 4 3 3" xfId="15102"/>
    <cellStyle name="Normal 8 3 2 4 4" xfId="15103"/>
    <cellStyle name="Normal 8 3 2 4 4 2" xfId="15104"/>
    <cellStyle name="Normal 8 3 2 4 5" xfId="15105"/>
    <cellStyle name="Normal 8 3 2 5" xfId="15106"/>
    <cellStyle name="Normal 8 3 2 5 2" xfId="15107"/>
    <cellStyle name="Normal 8 3 2 5 2 2" xfId="15108"/>
    <cellStyle name="Normal 8 3 2 5 3" xfId="15109"/>
    <cellStyle name="Normal 8 3 2 6" xfId="15110"/>
    <cellStyle name="Normal 8 3 2 6 2" xfId="15111"/>
    <cellStyle name="Normal 8 3 2 6 2 2" xfId="15112"/>
    <cellStyle name="Normal 8 3 2 6 3" xfId="15113"/>
    <cellStyle name="Normal 8 3 2 7" xfId="15114"/>
    <cellStyle name="Normal 8 3 2 7 2" xfId="15115"/>
    <cellStyle name="Normal 8 3 2 8" xfId="15116"/>
    <cellStyle name="Normal 8 3 3" xfId="15117"/>
    <cellStyle name="Normal 8 3 3 2" xfId="15118"/>
    <cellStyle name="Normal 8 3 3 3" xfId="15119"/>
    <cellStyle name="Normal 8 3 3 3 2" xfId="15120"/>
    <cellStyle name="Normal 8 3 3 3 2 2" xfId="15121"/>
    <cellStyle name="Normal 8 3 3 3 3" xfId="15122"/>
    <cellStyle name="Normal 8 3 3 4" xfId="15123"/>
    <cellStyle name="Normal 8 3 3 4 2" xfId="15124"/>
    <cellStyle name="Normal 8 3 3 4 2 2" xfId="15125"/>
    <cellStyle name="Normal 8 3 3 4 3" xfId="15126"/>
    <cellStyle name="Normal 8 3 3 5" xfId="15127"/>
    <cellStyle name="Normal 8 3 3 5 2" xfId="15128"/>
    <cellStyle name="Normal 8 3 3 6" xfId="15129"/>
    <cellStyle name="Normal 8 3 4" xfId="15130"/>
    <cellStyle name="Normal 8 3 4 2" xfId="15131"/>
    <cellStyle name="Normal 8 3 4 2 2" xfId="15132"/>
    <cellStyle name="Normal 8 3 4 2 2 2" xfId="15133"/>
    <cellStyle name="Normal 8 3 4 2 3" xfId="15134"/>
    <cellStyle name="Normal 8 3 4 3" xfId="15135"/>
    <cellStyle name="Normal 8 3 4 3 2" xfId="15136"/>
    <cellStyle name="Normal 8 3 4 3 2 2" xfId="15137"/>
    <cellStyle name="Normal 8 3 4 3 3" xfId="15138"/>
    <cellStyle name="Normal 8 3 4 4" xfId="15139"/>
    <cellStyle name="Normal 8 3 4 4 2" xfId="15140"/>
    <cellStyle name="Normal 8 3 4 5" xfId="15141"/>
    <cellStyle name="Normal 8 3 5" xfId="15142"/>
    <cellStyle name="Normal 8 3 5 2" xfId="15143"/>
    <cellStyle name="Normal 8 3 5 2 2" xfId="15144"/>
    <cellStyle name="Normal 8 3 5 2 2 2" xfId="15145"/>
    <cellStyle name="Normal 8 3 5 2 3" xfId="15146"/>
    <cellStyle name="Normal 8 3 5 3" xfId="15147"/>
    <cellStyle name="Normal 8 3 5 3 2" xfId="15148"/>
    <cellStyle name="Normal 8 3 5 3 2 2" xfId="15149"/>
    <cellStyle name="Normal 8 3 5 3 3" xfId="15150"/>
    <cellStyle name="Normal 8 3 5 4" xfId="15151"/>
    <cellStyle name="Normal 8 3 5 4 2" xfId="15152"/>
    <cellStyle name="Normal 8 3 5 5" xfId="15153"/>
    <cellStyle name="Normal 8 3 6" xfId="15154"/>
    <cellStyle name="Normal 8 3 6 2" xfId="15155"/>
    <cellStyle name="Normal 8 3 6 2 2" xfId="15156"/>
    <cellStyle name="Normal 8 3 6 3" xfId="15157"/>
    <cellStyle name="Normal 8 3 7" xfId="15158"/>
    <cellStyle name="Normal 8 3 7 2" xfId="15159"/>
    <cellStyle name="Normal 8 3 7 2 2" xfId="15160"/>
    <cellStyle name="Normal 8 3 7 3" xfId="15161"/>
    <cellStyle name="Normal 8 3 8" xfId="15162"/>
    <cellStyle name="Normal 8 3 8 2" xfId="15163"/>
    <cellStyle name="Normal 8 3 8 2 2" xfId="15164"/>
    <cellStyle name="Normal 8 3 8 3" xfId="15165"/>
    <cellStyle name="Normal 8 3 9" xfId="15166"/>
    <cellStyle name="Normal 8 3 9 2" xfId="15167"/>
    <cellStyle name="Normal 8 3 9 2 2" xfId="15168"/>
    <cellStyle name="Normal 8 3 9 3" xfId="15169"/>
    <cellStyle name="Normal 8 4" xfId="15170"/>
    <cellStyle name="Normal 8 4 2" xfId="15171"/>
    <cellStyle name="Normal 8 4 2 2" xfId="15172"/>
    <cellStyle name="Normal 8 4 2 3" xfId="15173"/>
    <cellStyle name="Normal 8 4 2 3 2" xfId="15174"/>
    <cellStyle name="Normal 8 4 2 3 2 2" xfId="15175"/>
    <cellStyle name="Normal 8 4 2 3 3" xfId="15176"/>
    <cellStyle name="Normal 8 4 2 4" xfId="15177"/>
    <cellStyle name="Normal 8 4 2 4 2" xfId="15178"/>
    <cellStyle name="Normal 8 4 2 4 2 2" xfId="15179"/>
    <cellStyle name="Normal 8 4 2 4 3" xfId="15180"/>
    <cellStyle name="Normal 8 4 2 5" xfId="15181"/>
    <cellStyle name="Normal 8 4 2 5 2" xfId="15182"/>
    <cellStyle name="Normal 8 4 2 6" xfId="15183"/>
    <cellStyle name="Normal 8 4 3" xfId="15184"/>
    <cellStyle name="Normal 8 4 3 2" xfId="15185"/>
    <cellStyle name="Normal 8 4 3 2 2" xfId="15186"/>
    <cellStyle name="Normal 8 4 3 2 2 2" xfId="15187"/>
    <cellStyle name="Normal 8 4 3 2 3" xfId="15188"/>
    <cellStyle name="Normal 8 4 3 3" xfId="15189"/>
    <cellStyle name="Normal 8 4 3 3 2" xfId="15190"/>
    <cellStyle name="Normal 8 4 3 3 2 2" xfId="15191"/>
    <cellStyle name="Normal 8 4 3 3 3" xfId="15192"/>
    <cellStyle name="Normal 8 4 3 4" xfId="15193"/>
    <cellStyle name="Normal 8 4 3 4 2" xfId="15194"/>
    <cellStyle name="Normal 8 4 3 5" xfId="15195"/>
    <cellStyle name="Normal 8 4 4" xfId="15196"/>
    <cellStyle name="Normal 8 4 4 2" xfId="15197"/>
    <cellStyle name="Normal 8 4 4 2 2" xfId="15198"/>
    <cellStyle name="Normal 8 4 4 2 2 2" xfId="15199"/>
    <cellStyle name="Normal 8 4 4 2 3" xfId="15200"/>
    <cellStyle name="Normal 8 4 4 3" xfId="15201"/>
    <cellStyle name="Normal 8 4 4 3 2" xfId="15202"/>
    <cellStyle name="Normal 8 4 4 3 2 2" xfId="15203"/>
    <cellStyle name="Normal 8 4 4 3 3" xfId="15204"/>
    <cellStyle name="Normal 8 4 4 4" xfId="15205"/>
    <cellStyle name="Normal 8 4 4 4 2" xfId="15206"/>
    <cellStyle name="Normal 8 4 4 5" xfId="15207"/>
    <cellStyle name="Normal 8 4 5" xfId="15208"/>
    <cellStyle name="Normal 8 4 5 2" xfId="15209"/>
    <cellStyle name="Normal 8 4 5 2 2" xfId="15210"/>
    <cellStyle name="Normal 8 4 5 3" xfId="15211"/>
    <cellStyle name="Normal 8 4 6" xfId="15212"/>
    <cellStyle name="Normal 8 4 6 2" xfId="15213"/>
    <cellStyle name="Normal 8 4 6 2 2" xfId="15214"/>
    <cellStyle name="Normal 8 4 6 3" xfId="15215"/>
    <cellStyle name="Normal 8 4 7" xfId="15216"/>
    <cellStyle name="Normal 8 4 7 2" xfId="15217"/>
    <cellStyle name="Normal 8 4 8" xfId="15218"/>
    <cellStyle name="Normal 8 5" xfId="15219"/>
    <cellStyle name="Normal 8 5 2" xfId="15220"/>
    <cellStyle name="Normal 8 5 3" xfId="15221"/>
    <cellStyle name="Normal 8 5 3 2" xfId="15222"/>
    <cellStyle name="Normal 8 5 3 2 2" xfId="15223"/>
    <cellStyle name="Normal 8 5 3 3" xfId="15224"/>
    <cellStyle name="Normal 8 5 4" xfId="15225"/>
    <cellStyle name="Normal 8 5 4 2" xfId="15226"/>
    <cellStyle name="Normal 8 5 4 2 2" xfId="15227"/>
    <cellStyle name="Normal 8 5 4 3" xfId="15228"/>
    <cellStyle name="Normal 8 5 5" xfId="15229"/>
    <cellStyle name="Normal 8 5 5 2" xfId="15230"/>
    <cellStyle name="Normal 8 5 6" xfId="15231"/>
    <cellStyle name="Normal 8 6" xfId="15232"/>
    <cellStyle name="Normal 8 6 2" xfId="15233"/>
    <cellStyle name="Normal 8 6 3" xfId="15234"/>
    <cellStyle name="Normal 8 6 3 2" xfId="15235"/>
    <cellStyle name="Normal 8 6 3 2 2" xfId="15236"/>
    <cellStyle name="Normal 8 6 3 3" xfId="15237"/>
    <cellStyle name="Normal 8 6 4" xfId="15238"/>
    <cellStyle name="Normal 8 6 4 2" xfId="15239"/>
    <cellStyle name="Normal 8 6 4 2 2" xfId="15240"/>
    <cellStyle name="Normal 8 6 4 3" xfId="15241"/>
    <cellStyle name="Normal 8 6 5" xfId="15242"/>
    <cellStyle name="Normal 8 6 5 2" xfId="15243"/>
    <cellStyle name="Normal 8 6 6" xfId="15244"/>
    <cellStyle name="Normal 8 7" xfId="15245"/>
    <cellStyle name="Normal 8 8" xfId="15246"/>
    <cellStyle name="Normal 8 9" xfId="15247"/>
    <cellStyle name="Normal 80" xfId="15248"/>
    <cellStyle name="Normal 81" xfId="15249"/>
    <cellStyle name="Normal 81 2" xfId="15250"/>
    <cellStyle name="Normal 82" xfId="15251"/>
    <cellStyle name="Normal 83" xfId="18537"/>
    <cellStyle name="Normal 84" xfId="18538"/>
    <cellStyle name="Normal 85" xfId="18539"/>
    <cellStyle name="Normal 86" xfId="18540"/>
    <cellStyle name="Normal 87" xfId="18541"/>
    <cellStyle name="Normal 88" xfId="18542"/>
    <cellStyle name="Normal 89" xfId="18543"/>
    <cellStyle name="Normal 9" xfId="15252"/>
    <cellStyle name="Normal 9 10" xfId="15253"/>
    <cellStyle name="Normal 9 11" xfId="15254"/>
    <cellStyle name="Normal 9 12" xfId="15255"/>
    <cellStyle name="Normal 9 13" xfId="15256"/>
    <cellStyle name="Normal 9 14" xfId="15257"/>
    <cellStyle name="Normal 9 15" xfId="15258"/>
    <cellStyle name="Normal 9 16" xfId="15259"/>
    <cellStyle name="Normal 9 17" xfId="15260"/>
    <cellStyle name="Normal 9 18" xfId="15261"/>
    <cellStyle name="Normal 9 18 2" xfId="15262"/>
    <cellStyle name="Normal 9 18 2 2" xfId="15263"/>
    <cellStyle name="Normal 9 18 2 2 2" xfId="15264"/>
    <cellStyle name="Normal 9 18 2 3" xfId="15265"/>
    <cellStyle name="Normal 9 18 3" xfId="15266"/>
    <cellStyle name="Normal 9 18 3 2" xfId="15267"/>
    <cellStyle name="Normal 9 18 3 2 2" xfId="15268"/>
    <cellStyle name="Normal 9 18 3 3" xfId="15269"/>
    <cellStyle name="Normal 9 18 4" xfId="15270"/>
    <cellStyle name="Normal 9 18 4 2" xfId="15271"/>
    <cellStyle name="Normal 9 18 5" xfId="15272"/>
    <cellStyle name="Normal 9 19" xfId="15273"/>
    <cellStyle name="Normal 9 2" xfId="15274"/>
    <cellStyle name="Normal 9 2 10" xfId="15275"/>
    <cellStyle name="Normal 9 2 10 2" xfId="15276"/>
    <cellStyle name="Normal 9 2 11" xfId="15277"/>
    <cellStyle name="Normal 9 2 2" xfId="15278"/>
    <cellStyle name="Normal 9 2 2 2" xfId="15279"/>
    <cellStyle name="Normal 9 2 2 2 2" xfId="15280"/>
    <cellStyle name="Normal 9 2 2 2 2 2" xfId="15281"/>
    <cellStyle name="Normal 9 2 2 2 2 2 2" xfId="15282"/>
    <cellStyle name="Normal 9 2 2 2 2 3" xfId="15283"/>
    <cellStyle name="Normal 9 2 2 2 3" xfId="15284"/>
    <cellStyle name="Normal 9 2 2 2 3 2" xfId="15285"/>
    <cellStyle name="Normal 9 2 2 2 3 2 2" xfId="15286"/>
    <cellStyle name="Normal 9 2 2 2 3 3" xfId="15287"/>
    <cellStyle name="Normal 9 2 2 2 4" xfId="15288"/>
    <cellStyle name="Normal 9 2 2 2 4 2" xfId="15289"/>
    <cellStyle name="Normal 9 2 2 2 5" xfId="15290"/>
    <cellStyle name="Normal 9 2 2 3" xfId="15291"/>
    <cellStyle name="Normal 9 2 2 3 2" xfId="15292"/>
    <cellStyle name="Normal 9 2 2 3 2 2" xfId="15293"/>
    <cellStyle name="Normal 9 2 2 3 2 2 2" xfId="15294"/>
    <cellStyle name="Normal 9 2 2 3 2 3" xfId="15295"/>
    <cellStyle name="Normal 9 2 2 3 3" xfId="15296"/>
    <cellStyle name="Normal 9 2 2 3 3 2" xfId="15297"/>
    <cellStyle name="Normal 9 2 2 3 3 2 2" xfId="15298"/>
    <cellStyle name="Normal 9 2 2 3 3 3" xfId="15299"/>
    <cellStyle name="Normal 9 2 2 3 4" xfId="15300"/>
    <cellStyle name="Normal 9 2 2 3 4 2" xfId="15301"/>
    <cellStyle name="Normal 9 2 2 3 5" xfId="15302"/>
    <cellStyle name="Normal 9 2 2 4" xfId="15303"/>
    <cellStyle name="Normal 9 2 2 4 2" xfId="15304"/>
    <cellStyle name="Normal 9 2 2 4 2 2" xfId="15305"/>
    <cellStyle name="Normal 9 2 2 4 2 2 2" xfId="15306"/>
    <cellStyle name="Normal 9 2 2 4 2 3" xfId="15307"/>
    <cellStyle name="Normal 9 2 2 4 3" xfId="15308"/>
    <cellStyle name="Normal 9 2 2 4 3 2" xfId="15309"/>
    <cellStyle name="Normal 9 2 2 4 3 2 2" xfId="15310"/>
    <cellStyle name="Normal 9 2 2 4 3 3" xfId="15311"/>
    <cellStyle name="Normal 9 2 2 4 4" xfId="15312"/>
    <cellStyle name="Normal 9 2 2 4 4 2" xfId="15313"/>
    <cellStyle name="Normal 9 2 2 4 5" xfId="15314"/>
    <cellStyle name="Normal 9 2 2 5" xfId="15315"/>
    <cellStyle name="Normal 9 2 2 5 2" xfId="15316"/>
    <cellStyle name="Normal 9 2 2 5 2 2" xfId="15317"/>
    <cellStyle name="Normal 9 2 2 5 3" xfId="15318"/>
    <cellStyle name="Normal 9 2 2 6" xfId="15319"/>
    <cellStyle name="Normal 9 2 2 6 2" xfId="15320"/>
    <cellStyle name="Normal 9 2 2 6 2 2" xfId="15321"/>
    <cellStyle name="Normal 9 2 2 6 3" xfId="15322"/>
    <cellStyle name="Normal 9 2 2 7" xfId="15323"/>
    <cellStyle name="Normal 9 2 2 7 2" xfId="15324"/>
    <cellStyle name="Normal 9 2 2 8" xfId="15325"/>
    <cellStyle name="Normal 9 2 3" xfId="15326"/>
    <cellStyle name="Normal 9 2 3 2" xfId="15327"/>
    <cellStyle name="Normal 9 2 3 3" xfId="15328"/>
    <cellStyle name="Normal 9 2 3 3 2" xfId="15329"/>
    <cellStyle name="Normal 9 2 3 3 2 2" xfId="15330"/>
    <cellStyle name="Normal 9 2 3 3 3" xfId="15331"/>
    <cellStyle name="Normal 9 2 3 4" xfId="15332"/>
    <cellStyle name="Normal 9 2 3 4 2" xfId="15333"/>
    <cellStyle name="Normal 9 2 3 4 2 2" xfId="15334"/>
    <cellStyle name="Normal 9 2 3 4 3" xfId="15335"/>
    <cellStyle name="Normal 9 2 3 5" xfId="15336"/>
    <cellStyle name="Normal 9 2 3 5 2" xfId="15337"/>
    <cellStyle name="Normal 9 2 3 6" xfId="15338"/>
    <cellStyle name="Normal 9 2 4" xfId="15339"/>
    <cellStyle name="Normal 9 2 4 2" xfId="15340"/>
    <cellStyle name="Normal 9 2 4 2 2" xfId="15341"/>
    <cellStyle name="Normal 9 2 4 2 2 2" xfId="15342"/>
    <cellStyle name="Normal 9 2 4 2 3" xfId="15343"/>
    <cellStyle name="Normal 9 2 4 3" xfId="15344"/>
    <cellStyle name="Normal 9 2 4 3 2" xfId="15345"/>
    <cellStyle name="Normal 9 2 4 3 2 2" xfId="15346"/>
    <cellStyle name="Normal 9 2 4 3 3" xfId="15347"/>
    <cellStyle name="Normal 9 2 4 4" xfId="15348"/>
    <cellStyle name="Normal 9 2 4 4 2" xfId="15349"/>
    <cellStyle name="Normal 9 2 4 5" xfId="15350"/>
    <cellStyle name="Normal 9 2 5" xfId="15351"/>
    <cellStyle name="Normal 9 2 5 2" xfId="15352"/>
    <cellStyle name="Normal 9 2 5 2 2" xfId="15353"/>
    <cellStyle name="Normal 9 2 5 2 2 2" xfId="15354"/>
    <cellStyle name="Normal 9 2 5 2 3" xfId="15355"/>
    <cellStyle name="Normal 9 2 5 3" xfId="15356"/>
    <cellStyle name="Normal 9 2 5 3 2" xfId="15357"/>
    <cellStyle name="Normal 9 2 5 3 2 2" xfId="15358"/>
    <cellStyle name="Normal 9 2 5 3 3" xfId="15359"/>
    <cellStyle name="Normal 9 2 5 4" xfId="15360"/>
    <cellStyle name="Normal 9 2 5 4 2" xfId="15361"/>
    <cellStyle name="Normal 9 2 5 5" xfId="15362"/>
    <cellStyle name="Normal 9 2 6" xfId="15363"/>
    <cellStyle name="Normal 9 2 6 2" xfId="15364"/>
    <cellStyle name="Normal 9 2 6 2 2" xfId="15365"/>
    <cellStyle name="Normal 9 2 6 3" xfId="15366"/>
    <cellStyle name="Normal 9 2 7" xfId="15367"/>
    <cellStyle name="Normal 9 2 7 2" xfId="15368"/>
    <cellStyle name="Normal 9 2 7 2 2" xfId="15369"/>
    <cellStyle name="Normal 9 2 7 3" xfId="15370"/>
    <cellStyle name="Normal 9 2 8" xfId="15371"/>
    <cellStyle name="Normal 9 2 8 2" xfId="15372"/>
    <cellStyle name="Normal 9 2 8 2 2" xfId="15373"/>
    <cellStyle name="Normal 9 2 8 3" xfId="15374"/>
    <cellStyle name="Normal 9 2 9" xfId="15375"/>
    <cellStyle name="Normal 9 2 9 2" xfId="15376"/>
    <cellStyle name="Normal 9 2 9 2 2" xfId="15377"/>
    <cellStyle name="Normal 9 2 9 3" xfId="15378"/>
    <cellStyle name="Normal 9 20" xfId="15379"/>
    <cellStyle name="Normal 9 20 2" xfId="15380"/>
    <cellStyle name="Normal 9 20 2 2" xfId="15381"/>
    <cellStyle name="Normal 9 20 3" xfId="15382"/>
    <cellStyle name="Normal 9 21" xfId="15383"/>
    <cellStyle name="Normal 9 21 2" xfId="15384"/>
    <cellStyle name="Normal 9 21 2 2" xfId="15385"/>
    <cellStyle name="Normal 9 21 3" xfId="15386"/>
    <cellStyle name="Normal 9 22" xfId="15387"/>
    <cellStyle name="Normal 9 22 2" xfId="15388"/>
    <cellStyle name="Normal 9 23" xfId="18664"/>
    <cellStyle name="Normal 9 3" xfId="15389"/>
    <cellStyle name="Normal 9 3 10" xfId="15390"/>
    <cellStyle name="Normal 9 3 10 2" xfId="15391"/>
    <cellStyle name="Normal 9 3 11" xfId="15392"/>
    <cellStyle name="Normal 9 3 2" xfId="15393"/>
    <cellStyle name="Normal 9 3 2 2" xfId="15394"/>
    <cellStyle name="Normal 9 3 2 2 2" xfId="15395"/>
    <cellStyle name="Normal 9 3 2 2 2 2" xfId="15396"/>
    <cellStyle name="Normal 9 3 2 2 2 2 2" xfId="15397"/>
    <cellStyle name="Normal 9 3 2 2 2 3" xfId="15398"/>
    <cellStyle name="Normal 9 3 2 2 3" xfId="15399"/>
    <cellStyle name="Normal 9 3 2 2 3 2" xfId="15400"/>
    <cellStyle name="Normal 9 3 2 2 3 2 2" xfId="15401"/>
    <cellStyle name="Normal 9 3 2 2 3 3" xfId="15402"/>
    <cellStyle name="Normal 9 3 2 2 4" xfId="15403"/>
    <cellStyle name="Normal 9 3 2 2 4 2" xfId="15404"/>
    <cellStyle name="Normal 9 3 2 2 5" xfId="15405"/>
    <cellStyle name="Normal 9 3 2 3" xfId="15406"/>
    <cellStyle name="Normal 9 3 2 3 2" xfId="15407"/>
    <cellStyle name="Normal 9 3 2 3 2 2" xfId="15408"/>
    <cellStyle name="Normal 9 3 2 3 2 2 2" xfId="15409"/>
    <cellStyle name="Normal 9 3 2 3 2 3" xfId="15410"/>
    <cellStyle name="Normal 9 3 2 3 3" xfId="15411"/>
    <cellStyle name="Normal 9 3 2 3 3 2" xfId="15412"/>
    <cellStyle name="Normal 9 3 2 3 3 2 2" xfId="15413"/>
    <cellStyle name="Normal 9 3 2 3 3 3" xfId="15414"/>
    <cellStyle name="Normal 9 3 2 3 4" xfId="15415"/>
    <cellStyle name="Normal 9 3 2 3 4 2" xfId="15416"/>
    <cellStyle name="Normal 9 3 2 3 5" xfId="15417"/>
    <cellStyle name="Normal 9 3 2 4" xfId="15418"/>
    <cellStyle name="Normal 9 3 2 4 2" xfId="15419"/>
    <cellStyle name="Normal 9 3 2 4 2 2" xfId="15420"/>
    <cellStyle name="Normal 9 3 2 4 2 2 2" xfId="15421"/>
    <cellStyle name="Normal 9 3 2 4 2 3" xfId="15422"/>
    <cellStyle name="Normal 9 3 2 4 3" xfId="15423"/>
    <cellStyle name="Normal 9 3 2 4 3 2" xfId="15424"/>
    <cellStyle name="Normal 9 3 2 4 3 2 2" xfId="15425"/>
    <cellStyle name="Normal 9 3 2 4 3 3" xfId="15426"/>
    <cellStyle name="Normal 9 3 2 4 4" xfId="15427"/>
    <cellStyle name="Normal 9 3 2 4 4 2" xfId="15428"/>
    <cellStyle name="Normal 9 3 2 4 5" xfId="15429"/>
    <cellStyle name="Normal 9 3 2 5" xfId="15430"/>
    <cellStyle name="Normal 9 3 2 5 2" xfId="15431"/>
    <cellStyle name="Normal 9 3 2 5 2 2" xfId="15432"/>
    <cellStyle name="Normal 9 3 2 5 3" xfId="15433"/>
    <cellStyle name="Normal 9 3 2 6" xfId="15434"/>
    <cellStyle name="Normal 9 3 2 6 2" xfId="15435"/>
    <cellStyle name="Normal 9 3 2 6 2 2" xfId="15436"/>
    <cellStyle name="Normal 9 3 2 6 3" xfId="15437"/>
    <cellStyle name="Normal 9 3 2 7" xfId="15438"/>
    <cellStyle name="Normal 9 3 2 7 2" xfId="15439"/>
    <cellStyle name="Normal 9 3 2 8" xfId="15440"/>
    <cellStyle name="Normal 9 3 3" xfId="15441"/>
    <cellStyle name="Normal 9 3 3 2" xfId="15442"/>
    <cellStyle name="Normal 9 3 3 3" xfId="15443"/>
    <cellStyle name="Normal 9 3 3 3 2" xfId="15444"/>
    <cellStyle name="Normal 9 3 3 3 2 2" xfId="15445"/>
    <cellStyle name="Normal 9 3 3 3 3" xfId="15446"/>
    <cellStyle name="Normal 9 3 3 4" xfId="15447"/>
    <cellStyle name="Normal 9 3 3 4 2" xfId="15448"/>
    <cellStyle name="Normal 9 3 3 4 2 2" xfId="15449"/>
    <cellStyle name="Normal 9 3 3 4 3" xfId="15450"/>
    <cellStyle name="Normal 9 3 3 5" xfId="15451"/>
    <cellStyle name="Normal 9 3 3 5 2" xfId="15452"/>
    <cellStyle name="Normal 9 3 3 6" xfId="15453"/>
    <cellStyle name="Normal 9 3 4" xfId="15454"/>
    <cellStyle name="Normal 9 3 4 2" xfId="15455"/>
    <cellStyle name="Normal 9 3 4 2 2" xfId="15456"/>
    <cellStyle name="Normal 9 3 4 2 2 2" xfId="15457"/>
    <cellStyle name="Normal 9 3 4 2 3" xfId="15458"/>
    <cellStyle name="Normal 9 3 4 3" xfId="15459"/>
    <cellStyle name="Normal 9 3 4 3 2" xfId="15460"/>
    <cellStyle name="Normal 9 3 4 3 2 2" xfId="15461"/>
    <cellStyle name="Normal 9 3 4 3 3" xfId="15462"/>
    <cellStyle name="Normal 9 3 4 4" xfId="15463"/>
    <cellStyle name="Normal 9 3 4 4 2" xfId="15464"/>
    <cellStyle name="Normal 9 3 4 5" xfId="15465"/>
    <cellStyle name="Normal 9 3 5" xfId="15466"/>
    <cellStyle name="Normal 9 3 5 2" xfId="15467"/>
    <cellStyle name="Normal 9 3 5 2 2" xfId="15468"/>
    <cellStyle name="Normal 9 3 5 2 2 2" xfId="15469"/>
    <cellStyle name="Normal 9 3 5 2 3" xfId="15470"/>
    <cellStyle name="Normal 9 3 5 3" xfId="15471"/>
    <cellStyle name="Normal 9 3 5 3 2" xfId="15472"/>
    <cellStyle name="Normal 9 3 5 3 2 2" xfId="15473"/>
    <cellStyle name="Normal 9 3 5 3 3" xfId="15474"/>
    <cellStyle name="Normal 9 3 5 4" xfId="15475"/>
    <cellStyle name="Normal 9 3 5 4 2" xfId="15476"/>
    <cellStyle name="Normal 9 3 5 5" xfId="15477"/>
    <cellStyle name="Normal 9 3 6" xfId="15478"/>
    <cellStyle name="Normal 9 3 6 2" xfId="15479"/>
    <cellStyle name="Normal 9 3 6 2 2" xfId="15480"/>
    <cellStyle name="Normal 9 3 6 3" xfId="15481"/>
    <cellStyle name="Normal 9 3 7" xfId="15482"/>
    <cellStyle name="Normal 9 3 7 2" xfId="15483"/>
    <cellStyle name="Normal 9 3 7 2 2" xfId="15484"/>
    <cellStyle name="Normal 9 3 7 3" xfId="15485"/>
    <cellStyle name="Normal 9 3 8" xfId="15486"/>
    <cellStyle name="Normal 9 3 8 2" xfId="15487"/>
    <cellStyle name="Normal 9 3 8 2 2" xfId="15488"/>
    <cellStyle name="Normal 9 3 8 3" xfId="15489"/>
    <cellStyle name="Normal 9 3 9" xfId="15490"/>
    <cellStyle name="Normal 9 3 9 2" xfId="15491"/>
    <cellStyle name="Normal 9 3 9 2 2" xfId="15492"/>
    <cellStyle name="Normal 9 3 9 3" xfId="15493"/>
    <cellStyle name="Normal 9 4" xfId="15494"/>
    <cellStyle name="Normal 9 4 2" xfId="15495"/>
    <cellStyle name="Normal 9 4 2 2" xfId="15496"/>
    <cellStyle name="Normal 9 4 2 3" xfId="15497"/>
    <cellStyle name="Normal 9 4 2 3 2" xfId="15498"/>
    <cellStyle name="Normal 9 4 2 3 2 2" xfId="15499"/>
    <cellStyle name="Normal 9 4 2 3 3" xfId="15500"/>
    <cellStyle name="Normal 9 4 2 4" xfId="15501"/>
    <cellStyle name="Normal 9 4 2 4 2" xfId="15502"/>
    <cellStyle name="Normal 9 4 2 4 2 2" xfId="15503"/>
    <cellStyle name="Normal 9 4 2 4 3" xfId="15504"/>
    <cellStyle name="Normal 9 4 2 5" xfId="15505"/>
    <cellStyle name="Normal 9 4 2 5 2" xfId="15506"/>
    <cellStyle name="Normal 9 4 2 6" xfId="15507"/>
    <cellStyle name="Normal 9 4 3" xfId="15508"/>
    <cellStyle name="Normal 9 4 3 2" xfId="15509"/>
    <cellStyle name="Normal 9 4 3 2 2" xfId="15510"/>
    <cellStyle name="Normal 9 4 3 2 2 2" xfId="15511"/>
    <cellStyle name="Normal 9 4 3 2 3" xfId="15512"/>
    <cellStyle name="Normal 9 4 3 3" xfId="15513"/>
    <cellStyle name="Normal 9 4 3 3 2" xfId="15514"/>
    <cellStyle name="Normal 9 4 3 3 2 2" xfId="15515"/>
    <cellStyle name="Normal 9 4 3 3 3" xfId="15516"/>
    <cellStyle name="Normal 9 4 3 4" xfId="15517"/>
    <cellStyle name="Normal 9 4 3 4 2" xfId="15518"/>
    <cellStyle name="Normal 9 4 3 5" xfId="15519"/>
    <cellStyle name="Normal 9 4 4" xfId="15520"/>
    <cellStyle name="Normal 9 4 4 2" xfId="15521"/>
    <cellStyle name="Normal 9 4 4 2 2" xfId="15522"/>
    <cellStyle name="Normal 9 4 4 2 2 2" xfId="15523"/>
    <cellStyle name="Normal 9 4 4 2 3" xfId="15524"/>
    <cellStyle name="Normal 9 4 4 3" xfId="15525"/>
    <cellStyle name="Normal 9 4 4 3 2" xfId="15526"/>
    <cellStyle name="Normal 9 4 4 3 2 2" xfId="15527"/>
    <cellStyle name="Normal 9 4 4 3 3" xfId="15528"/>
    <cellStyle name="Normal 9 4 4 4" xfId="15529"/>
    <cellStyle name="Normal 9 4 4 4 2" xfId="15530"/>
    <cellStyle name="Normal 9 4 4 5" xfId="15531"/>
    <cellStyle name="Normal 9 4 5" xfId="15532"/>
    <cellStyle name="Normal 9 4 5 2" xfId="15533"/>
    <cellStyle name="Normal 9 4 5 2 2" xfId="15534"/>
    <cellStyle name="Normal 9 4 5 3" xfId="15535"/>
    <cellStyle name="Normal 9 4 6" xfId="15536"/>
    <cellStyle name="Normal 9 4 6 2" xfId="15537"/>
    <cellStyle name="Normal 9 4 6 2 2" xfId="15538"/>
    <cellStyle name="Normal 9 4 6 3" xfId="15539"/>
    <cellStyle name="Normal 9 4 7" xfId="15540"/>
    <cellStyle name="Normal 9 4 7 2" xfId="15541"/>
    <cellStyle name="Normal 9 4 8" xfId="15542"/>
    <cellStyle name="Normal 9 5" xfId="15543"/>
    <cellStyle name="Normal 9 5 2" xfId="15544"/>
    <cellStyle name="Normal 9 5 3" xfId="15545"/>
    <cellStyle name="Normal 9 5 3 2" xfId="15546"/>
    <cellStyle name="Normal 9 5 3 2 2" xfId="15547"/>
    <cellStyle name="Normal 9 5 3 3" xfId="15548"/>
    <cellStyle name="Normal 9 5 4" xfId="15549"/>
    <cellStyle name="Normal 9 5 4 2" xfId="15550"/>
    <cellStyle name="Normal 9 5 4 2 2" xfId="15551"/>
    <cellStyle name="Normal 9 5 4 3" xfId="15552"/>
    <cellStyle name="Normal 9 5 5" xfId="15553"/>
    <cellStyle name="Normal 9 5 5 2" xfId="15554"/>
    <cellStyle name="Normal 9 5 6" xfId="15555"/>
    <cellStyle name="Normal 9 6" xfId="15556"/>
    <cellStyle name="Normal 9 6 2" xfId="15557"/>
    <cellStyle name="Normal 9 6 3" xfId="15558"/>
    <cellStyle name="Normal 9 6 3 2" xfId="15559"/>
    <cellStyle name="Normal 9 6 3 2 2" xfId="15560"/>
    <cellStyle name="Normal 9 6 3 3" xfId="15561"/>
    <cellStyle name="Normal 9 6 4" xfId="15562"/>
    <cellStyle name="Normal 9 6 4 2" xfId="15563"/>
    <cellStyle name="Normal 9 6 4 2 2" xfId="15564"/>
    <cellStyle name="Normal 9 6 4 3" xfId="15565"/>
    <cellStyle name="Normal 9 6 5" xfId="15566"/>
    <cellStyle name="Normal 9 6 5 2" xfId="15567"/>
    <cellStyle name="Normal 9 6 6" xfId="15568"/>
    <cellStyle name="Normal 9 7" xfId="15569"/>
    <cellStyle name="Normal 9 8" xfId="15570"/>
    <cellStyle name="Normal 9 9" xfId="15571"/>
    <cellStyle name="Normal 90" xfId="18544"/>
    <cellStyle name="Normal 91" xfId="18545"/>
    <cellStyle name="Normal 92" xfId="18546"/>
    <cellStyle name="Normal 93" xfId="18547"/>
    <cellStyle name="Normal 94" xfId="18548"/>
    <cellStyle name="Normal 95" xfId="15572"/>
    <cellStyle name="Normal 95 2" xfId="15573"/>
    <cellStyle name="Normal 96" xfId="15574"/>
    <cellStyle name="Normal 97" xfId="15575"/>
    <cellStyle name="Normal 98" xfId="15576"/>
    <cellStyle name="Normal 98 2" xfId="15577"/>
    <cellStyle name="Normal 99" xfId="18549"/>
    <cellStyle name="Normal_2.6 (2)" xfId="18003"/>
    <cellStyle name="Normal_FIN1297" xfId="18639"/>
    <cellStyle name="Normal_Historical returns FY78_FY03" xfId="18665"/>
    <cellStyle name="Normal_Proj" xfId="18645"/>
    <cellStyle name="Normal_Sheet1" xfId="18666"/>
    <cellStyle name="Not Complete" xfId="15578"/>
    <cellStyle name="Note 10" xfId="15579"/>
    <cellStyle name="Note 10 10" xfId="15580"/>
    <cellStyle name="Note 10 10 2" xfId="15581"/>
    <cellStyle name="Note 10 11" xfId="15582"/>
    <cellStyle name="Note 10 11 2" xfId="15583"/>
    <cellStyle name="Note 10 12" xfId="15584"/>
    <cellStyle name="Note 10 12 2" xfId="15585"/>
    <cellStyle name="Note 10 13" xfId="15586"/>
    <cellStyle name="Note 10 13 2" xfId="15587"/>
    <cellStyle name="Note 10 14" xfId="15588"/>
    <cellStyle name="Note 10 14 2" xfId="15589"/>
    <cellStyle name="Note 10 15" xfId="15590"/>
    <cellStyle name="Note 10 15 2" xfId="15591"/>
    <cellStyle name="Note 10 16" xfId="15592"/>
    <cellStyle name="Note 10 16 2" xfId="15593"/>
    <cellStyle name="Note 10 17" xfId="15594"/>
    <cellStyle name="Note 10 17 2" xfId="15595"/>
    <cellStyle name="Note 10 18" xfId="15596"/>
    <cellStyle name="Note 10 18 2" xfId="15597"/>
    <cellStyle name="Note 10 19" xfId="15598"/>
    <cellStyle name="Note 10 19 2" xfId="15599"/>
    <cellStyle name="Note 10 2" xfId="15600"/>
    <cellStyle name="Note 10 2 2" xfId="15601"/>
    <cellStyle name="Note 10 2 3" xfId="15602"/>
    <cellStyle name="Note 10 20" xfId="15603"/>
    <cellStyle name="Note 10 20 2" xfId="15604"/>
    <cellStyle name="Note 10 21" xfId="15605"/>
    <cellStyle name="Note 10 21 2" xfId="15606"/>
    <cellStyle name="Note 10 22" xfId="15607"/>
    <cellStyle name="Note 10 22 2" xfId="15608"/>
    <cellStyle name="Note 10 23" xfId="15609"/>
    <cellStyle name="Note 10 24" xfId="15610"/>
    <cellStyle name="Note 10 3" xfId="15611"/>
    <cellStyle name="Note 10 3 2" xfId="15612"/>
    <cellStyle name="Note 10 4" xfId="15613"/>
    <cellStyle name="Note 10 4 2" xfId="15614"/>
    <cellStyle name="Note 10 5" xfId="15615"/>
    <cellStyle name="Note 10 5 2" xfId="15616"/>
    <cellStyle name="Note 10 6" xfId="15617"/>
    <cellStyle name="Note 10 6 2" xfId="15618"/>
    <cellStyle name="Note 10 7" xfId="15619"/>
    <cellStyle name="Note 10 7 2" xfId="15620"/>
    <cellStyle name="Note 10 8" xfId="15621"/>
    <cellStyle name="Note 10 8 2" xfId="15622"/>
    <cellStyle name="Note 10 9" xfId="15623"/>
    <cellStyle name="Note 10 9 2" xfId="15624"/>
    <cellStyle name="Note 11" xfId="15625"/>
    <cellStyle name="Note 11 10" xfId="15626"/>
    <cellStyle name="Note 11 10 2" xfId="15627"/>
    <cellStyle name="Note 11 11" xfId="15628"/>
    <cellStyle name="Note 11 11 2" xfId="15629"/>
    <cellStyle name="Note 11 12" xfId="15630"/>
    <cellStyle name="Note 11 12 2" xfId="15631"/>
    <cellStyle name="Note 11 13" xfId="15632"/>
    <cellStyle name="Note 11 13 2" xfId="15633"/>
    <cellStyle name="Note 11 14" xfId="15634"/>
    <cellStyle name="Note 11 14 2" xfId="15635"/>
    <cellStyle name="Note 11 15" xfId="15636"/>
    <cellStyle name="Note 11 15 2" xfId="15637"/>
    <cellStyle name="Note 11 16" xfId="15638"/>
    <cellStyle name="Note 11 16 2" xfId="15639"/>
    <cellStyle name="Note 11 17" xfId="15640"/>
    <cellStyle name="Note 11 17 2" xfId="15641"/>
    <cellStyle name="Note 11 18" xfId="15642"/>
    <cellStyle name="Note 11 18 2" xfId="15643"/>
    <cellStyle name="Note 11 19" xfId="15644"/>
    <cellStyle name="Note 11 19 2" xfId="15645"/>
    <cellStyle name="Note 11 2" xfId="15646"/>
    <cellStyle name="Note 11 2 2" xfId="15647"/>
    <cellStyle name="Note 11 2 3" xfId="15648"/>
    <cellStyle name="Note 11 20" xfId="15649"/>
    <cellStyle name="Note 11 20 2" xfId="15650"/>
    <cellStyle name="Note 11 21" xfId="15651"/>
    <cellStyle name="Note 11 21 2" xfId="15652"/>
    <cellStyle name="Note 11 22" xfId="15653"/>
    <cellStyle name="Note 11 22 2" xfId="15654"/>
    <cellStyle name="Note 11 23" xfId="15655"/>
    <cellStyle name="Note 11 24" xfId="15656"/>
    <cellStyle name="Note 11 3" xfId="15657"/>
    <cellStyle name="Note 11 3 2" xfId="15658"/>
    <cellStyle name="Note 11 4" xfId="15659"/>
    <cellStyle name="Note 11 4 2" xfId="15660"/>
    <cellStyle name="Note 11 5" xfId="15661"/>
    <cellStyle name="Note 11 5 2" xfId="15662"/>
    <cellStyle name="Note 11 6" xfId="15663"/>
    <cellStyle name="Note 11 6 2" xfId="15664"/>
    <cellStyle name="Note 11 7" xfId="15665"/>
    <cellStyle name="Note 11 7 2" xfId="15666"/>
    <cellStyle name="Note 11 8" xfId="15667"/>
    <cellStyle name="Note 11 8 2" xfId="15668"/>
    <cellStyle name="Note 11 9" xfId="15669"/>
    <cellStyle name="Note 11 9 2" xfId="15670"/>
    <cellStyle name="Note 12" xfId="15671"/>
    <cellStyle name="Note 12 10" xfId="15672"/>
    <cellStyle name="Note 12 10 2" xfId="15673"/>
    <cellStyle name="Note 12 11" xfId="15674"/>
    <cellStyle name="Note 12 11 2" xfId="15675"/>
    <cellStyle name="Note 12 12" xfId="15676"/>
    <cellStyle name="Note 12 12 2" xfId="15677"/>
    <cellStyle name="Note 12 13" xfId="15678"/>
    <cellStyle name="Note 12 13 2" xfId="15679"/>
    <cellStyle name="Note 12 14" xfId="15680"/>
    <cellStyle name="Note 12 14 2" xfId="15681"/>
    <cellStyle name="Note 12 15" xfId="15682"/>
    <cellStyle name="Note 12 15 2" xfId="15683"/>
    <cellStyle name="Note 12 16" xfId="15684"/>
    <cellStyle name="Note 12 16 2" xfId="15685"/>
    <cellStyle name="Note 12 17" xfId="15686"/>
    <cellStyle name="Note 12 17 2" xfId="15687"/>
    <cellStyle name="Note 12 18" xfId="15688"/>
    <cellStyle name="Note 12 18 2" xfId="15689"/>
    <cellStyle name="Note 12 19" xfId="15690"/>
    <cellStyle name="Note 12 19 2" xfId="15691"/>
    <cellStyle name="Note 12 2" xfId="15692"/>
    <cellStyle name="Note 12 2 2" xfId="15693"/>
    <cellStyle name="Note 12 2 3" xfId="15694"/>
    <cellStyle name="Note 12 20" xfId="15695"/>
    <cellStyle name="Note 12 20 2" xfId="15696"/>
    <cellStyle name="Note 12 21" xfId="15697"/>
    <cellStyle name="Note 12 21 2" xfId="15698"/>
    <cellStyle name="Note 12 22" xfId="15699"/>
    <cellStyle name="Note 12 22 2" xfId="15700"/>
    <cellStyle name="Note 12 23" xfId="15701"/>
    <cellStyle name="Note 12 24" xfId="15702"/>
    <cellStyle name="Note 12 3" xfId="15703"/>
    <cellStyle name="Note 12 3 2" xfId="15704"/>
    <cellStyle name="Note 12 4" xfId="15705"/>
    <cellStyle name="Note 12 4 2" xfId="15706"/>
    <cellStyle name="Note 12 5" xfId="15707"/>
    <cellStyle name="Note 12 5 2" xfId="15708"/>
    <cellStyle name="Note 12 6" xfId="15709"/>
    <cellStyle name="Note 12 6 2" xfId="15710"/>
    <cellStyle name="Note 12 7" xfId="15711"/>
    <cellStyle name="Note 12 7 2" xfId="15712"/>
    <cellStyle name="Note 12 8" xfId="15713"/>
    <cellStyle name="Note 12 8 2" xfId="15714"/>
    <cellStyle name="Note 12 9" xfId="15715"/>
    <cellStyle name="Note 12 9 2" xfId="15716"/>
    <cellStyle name="Note 13" xfId="15717"/>
    <cellStyle name="Note 13 2" xfId="15718"/>
    <cellStyle name="Note 13 3" xfId="15719"/>
    <cellStyle name="Note 14" xfId="15720"/>
    <cellStyle name="Note 14 2" xfId="15721"/>
    <cellStyle name="Note 14 3" xfId="15722"/>
    <cellStyle name="Note 15" xfId="15723"/>
    <cellStyle name="Note 15 2" xfId="15724"/>
    <cellStyle name="Note 15 3" xfId="15725"/>
    <cellStyle name="Note 16" xfId="15726"/>
    <cellStyle name="Note 16 2" xfId="15727"/>
    <cellStyle name="Note 17" xfId="15728"/>
    <cellStyle name="Note 17 2" xfId="15729"/>
    <cellStyle name="Note 18" xfId="15730"/>
    <cellStyle name="Note 18 2" xfId="15731"/>
    <cellStyle name="Note 19" xfId="15732"/>
    <cellStyle name="Note 19 2" xfId="15733"/>
    <cellStyle name="Note 2" xfId="15734"/>
    <cellStyle name="Note 2 10" xfId="15735"/>
    <cellStyle name="Note 2 10 2" xfId="15736"/>
    <cellStyle name="Note 2 10 3" xfId="15737"/>
    <cellStyle name="Note 2 11" xfId="15738"/>
    <cellStyle name="Note 2 11 2" xfId="15739"/>
    <cellStyle name="Note 2 11 3" xfId="15740"/>
    <cellStyle name="Note 2 12" xfId="15741"/>
    <cellStyle name="Note 2 12 2" xfId="15742"/>
    <cellStyle name="Note 2 12 3" xfId="15743"/>
    <cellStyle name="Note 2 13" xfId="15744"/>
    <cellStyle name="Note 2 13 2" xfId="15745"/>
    <cellStyle name="Note 2 13 3" xfId="15746"/>
    <cellStyle name="Note 2 14" xfId="15747"/>
    <cellStyle name="Note 2 14 2" xfId="15748"/>
    <cellStyle name="Note 2 14 3" xfId="15749"/>
    <cellStyle name="Note 2 15" xfId="15750"/>
    <cellStyle name="Note 2 15 2" xfId="15751"/>
    <cellStyle name="Note 2 15 3" xfId="15752"/>
    <cellStyle name="Note 2 16" xfId="15753"/>
    <cellStyle name="Note 2 16 2" xfId="15754"/>
    <cellStyle name="Note 2 16 3" xfId="15755"/>
    <cellStyle name="Note 2 17" xfId="15756"/>
    <cellStyle name="Note 2 17 2" xfId="15757"/>
    <cellStyle name="Note 2 17 3" xfId="15758"/>
    <cellStyle name="Note 2 18" xfId="15759"/>
    <cellStyle name="Note 2 18 2" xfId="15760"/>
    <cellStyle name="Note 2 18 3" xfId="15761"/>
    <cellStyle name="Note 2 19" xfId="15762"/>
    <cellStyle name="Note 2 19 2" xfId="15763"/>
    <cellStyle name="Note 2 19 3" xfId="15764"/>
    <cellStyle name="Note 2 2" xfId="15765"/>
    <cellStyle name="Note 2 2 2" xfId="15766"/>
    <cellStyle name="Note 2 2 3" xfId="15767"/>
    <cellStyle name="Note 2 20" xfId="15768"/>
    <cellStyle name="Note 2 20 2" xfId="15769"/>
    <cellStyle name="Note 2 20 3" xfId="15770"/>
    <cellStyle name="Note 2 21" xfId="15771"/>
    <cellStyle name="Note 2 21 2" xfId="15772"/>
    <cellStyle name="Note 2 21 3" xfId="15773"/>
    <cellStyle name="Note 2 22" xfId="15774"/>
    <cellStyle name="Note 2 22 2" xfId="15775"/>
    <cellStyle name="Note 2 22 3" xfId="15776"/>
    <cellStyle name="Note 2 23" xfId="15777"/>
    <cellStyle name="Note 2 23 2" xfId="15778"/>
    <cellStyle name="Note 2 23 3" xfId="15779"/>
    <cellStyle name="Note 2 24" xfId="15780"/>
    <cellStyle name="Note 2 24 2" xfId="15781"/>
    <cellStyle name="Note 2 24 3" xfId="15782"/>
    <cellStyle name="Note 2 25" xfId="15783"/>
    <cellStyle name="Note 2 25 2" xfId="15784"/>
    <cellStyle name="Note 2 25 3" xfId="15785"/>
    <cellStyle name="Note 2 26" xfId="15786"/>
    <cellStyle name="Note 2 26 2" xfId="15787"/>
    <cellStyle name="Note 2 26 3" xfId="15788"/>
    <cellStyle name="Note 2 27" xfId="15789"/>
    <cellStyle name="Note 2 27 2" xfId="15790"/>
    <cellStyle name="Note 2 27 3" xfId="15791"/>
    <cellStyle name="Note 2 28" xfId="15792"/>
    <cellStyle name="Note 2 28 2" xfId="15793"/>
    <cellStyle name="Note 2 28 3" xfId="15794"/>
    <cellStyle name="Note 2 29" xfId="15795"/>
    <cellStyle name="Note 2 29 2" xfId="15796"/>
    <cellStyle name="Note 2 29 3" xfId="15797"/>
    <cellStyle name="Note 2 3" xfId="15798"/>
    <cellStyle name="Note 2 3 2" xfId="15799"/>
    <cellStyle name="Note 2 3 3" xfId="15800"/>
    <cellStyle name="Note 2 30" xfId="15801"/>
    <cellStyle name="Note 2 30 2" xfId="15802"/>
    <cellStyle name="Note 2 30 3" xfId="15803"/>
    <cellStyle name="Note 2 31" xfId="15804"/>
    <cellStyle name="Note 2 31 2" xfId="15805"/>
    <cellStyle name="Note 2 31 3" xfId="15806"/>
    <cellStyle name="Note 2 32" xfId="15807"/>
    <cellStyle name="Note 2 32 2" xfId="15808"/>
    <cellStyle name="Note 2 32 3" xfId="15809"/>
    <cellStyle name="Note 2 33" xfId="15810"/>
    <cellStyle name="Note 2 33 2" xfId="15811"/>
    <cellStyle name="Note 2 33 3" xfId="15812"/>
    <cellStyle name="Note 2 34" xfId="15813"/>
    <cellStyle name="Note 2 34 2" xfId="15814"/>
    <cellStyle name="Note 2 34 3" xfId="15815"/>
    <cellStyle name="Note 2 35" xfId="15816"/>
    <cellStyle name="Note 2 35 2" xfId="15817"/>
    <cellStyle name="Note 2 35 3" xfId="15818"/>
    <cellStyle name="Note 2 36" xfId="15819"/>
    <cellStyle name="Note 2 36 2" xfId="15820"/>
    <cellStyle name="Note 2 36 3" xfId="15821"/>
    <cellStyle name="Note 2 37" xfId="15822"/>
    <cellStyle name="Note 2 37 2" xfId="15823"/>
    <cellStyle name="Note 2 37 3" xfId="15824"/>
    <cellStyle name="Note 2 38" xfId="15825"/>
    <cellStyle name="Note 2 38 2" xfId="15826"/>
    <cellStyle name="Note 2 38 3" xfId="15827"/>
    <cellStyle name="Note 2 39" xfId="15828"/>
    <cellStyle name="Note 2 39 2" xfId="15829"/>
    <cellStyle name="Note 2 39 3" xfId="15830"/>
    <cellStyle name="Note 2 4" xfId="15831"/>
    <cellStyle name="Note 2 4 2" xfId="15832"/>
    <cellStyle name="Note 2 4 3" xfId="15833"/>
    <cellStyle name="Note 2 40" xfId="15834"/>
    <cellStyle name="Note 2 40 2" xfId="15835"/>
    <cellStyle name="Note 2 40 3" xfId="15836"/>
    <cellStyle name="Note 2 41" xfId="15837"/>
    <cellStyle name="Note 2 41 2" xfId="15838"/>
    <cellStyle name="Note 2 41 3" xfId="15839"/>
    <cellStyle name="Note 2 42" xfId="15840"/>
    <cellStyle name="Note 2 42 2" xfId="15841"/>
    <cellStyle name="Note 2 42 3" xfId="15842"/>
    <cellStyle name="Note 2 43" xfId="15843"/>
    <cellStyle name="Note 2 43 2" xfId="15844"/>
    <cellStyle name="Note 2 43 3" xfId="15845"/>
    <cellStyle name="Note 2 44" xfId="15846"/>
    <cellStyle name="Note 2 44 2" xfId="15847"/>
    <cellStyle name="Note 2 44 3" xfId="15848"/>
    <cellStyle name="Note 2 45" xfId="15849"/>
    <cellStyle name="Note 2 45 2" xfId="15850"/>
    <cellStyle name="Note 2 45 3" xfId="15851"/>
    <cellStyle name="Note 2 46" xfId="15852"/>
    <cellStyle name="Note 2 46 2" xfId="15853"/>
    <cellStyle name="Note 2 46 3" xfId="15854"/>
    <cellStyle name="Note 2 47" xfId="15855"/>
    <cellStyle name="Note 2 47 2" xfId="15856"/>
    <cellStyle name="Note 2 47 3" xfId="15857"/>
    <cellStyle name="Note 2 48" xfId="15858"/>
    <cellStyle name="Note 2 48 2" xfId="15859"/>
    <cellStyle name="Note 2 48 3" xfId="15860"/>
    <cellStyle name="Note 2 49" xfId="15861"/>
    <cellStyle name="Note 2 49 2" xfId="15862"/>
    <cellStyle name="Note 2 49 3" xfId="15863"/>
    <cellStyle name="Note 2 5" xfId="15864"/>
    <cellStyle name="Note 2 5 2" xfId="15865"/>
    <cellStyle name="Note 2 5 3" xfId="15866"/>
    <cellStyle name="Note 2 50" xfId="15867"/>
    <cellStyle name="Note 2 50 2" xfId="15868"/>
    <cellStyle name="Note 2 50 3" xfId="15869"/>
    <cellStyle name="Note 2 51" xfId="15870"/>
    <cellStyle name="Note 2 51 2" xfId="15871"/>
    <cellStyle name="Note 2 51 3" xfId="15872"/>
    <cellStyle name="Note 2 52" xfId="15873"/>
    <cellStyle name="Note 2 52 2" xfId="15874"/>
    <cellStyle name="Note 2 52 3" xfId="15875"/>
    <cellStyle name="Note 2 53" xfId="15876"/>
    <cellStyle name="Note 2 53 2" xfId="15877"/>
    <cellStyle name="Note 2 53 3" xfId="15878"/>
    <cellStyle name="Note 2 54" xfId="15879"/>
    <cellStyle name="Note 2 54 2" xfId="15880"/>
    <cellStyle name="Note 2 54 3" xfId="15881"/>
    <cellStyle name="Note 2 55" xfId="15882"/>
    <cellStyle name="Note 2 55 2" xfId="15883"/>
    <cellStyle name="Note 2 55 3" xfId="15884"/>
    <cellStyle name="Note 2 56" xfId="15885"/>
    <cellStyle name="Note 2 56 2" xfId="15886"/>
    <cellStyle name="Note 2 56 3" xfId="15887"/>
    <cellStyle name="Note 2 57" xfId="15888"/>
    <cellStyle name="Note 2 57 2" xfId="15889"/>
    <cellStyle name="Note 2 57 3" xfId="15890"/>
    <cellStyle name="Note 2 58" xfId="15891"/>
    <cellStyle name="Note 2 58 2" xfId="15892"/>
    <cellStyle name="Note 2 58 3" xfId="15893"/>
    <cellStyle name="Note 2 59" xfId="15894"/>
    <cellStyle name="Note 2 59 2" xfId="15895"/>
    <cellStyle name="Note 2 59 3" xfId="15896"/>
    <cellStyle name="Note 2 6" xfId="15897"/>
    <cellStyle name="Note 2 6 2" xfId="15898"/>
    <cellStyle name="Note 2 6 3" xfId="15899"/>
    <cellStyle name="Note 2 60" xfId="15900"/>
    <cellStyle name="Note 2 60 2" xfId="15901"/>
    <cellStyle name="Note 2 60 3" xfId="15902"/>
    <cellStyle name="Note 2 61" xfId="15903"/>
    <cellStyle name="Note 2 61 2" xfId="15904"/>
    <cellStyle name="Note 2 61 3" xfId="15905"/>
    <cellStyle name="Note 2 62" xfId="15906"/>
    <cellStyle name="Note 2 62 2" xfId="15907"/>
    <cellStyle name="Note 2 63" xfId="15908"/>
    <cellStyle name="Note 2 63 2" xfId="15909"/>
    <cellStyle name="Note 2 64" xfId="15910"/>
    <cellStyle name="Note 2 64 2" xfId="15911"/>
    <cellStyle name="Note 2 65" xfId="15912"/>
    <cellStyle name="Note 2 65 2" xfId="15913"/>
    <cellStyle name="Note 2 66" xfId="15914"/>
    <cellStyle name="Note 2 66 2" xfId="15915"/>
    <cellStyle name="Note 2 67" xfId="15916"/>
    <cellStyle name="Note 2 67 2" xfId="15917"/>
    <cellStyle name="Note 2 68" xfId="15918"/>
    <cellStyle name="Note 2 69" xfId="15919"/>
    <cellStyle name="Note 2 7" xfId="15920"/>
    <cellStyle name="Note 2 7 2" xfId="15921"/>
    <cellStyle name="Note 2 7 3" xfId="15922"/>
    <cellStyle name="Note 2 70" xfId="18550"/>
    <cellStyle name="Note 2 8" xfId="15923"/>
    <cellStyle name="Note 2 8 2" xfId="15924"/>
    <cellStyle name="Note 2 8 3" xfId="15925"/>
    <cellStyle name="Note 2 9" xfId="15926"/>
    <cellStyle name="Note 2 9 2" xfId="15927"/>
    <cellStyle name="Note 2 9 3" xfId="15928"/>
    <cellStyle name="Note 20" xfId="15929"/>
    <cellStyle name="Note 20 2" xfId="15930"/>
    <cellStyle name="Note 21" xfId="15931"/>
    <cellStyle name="Note 21 2" xfId="15932"/>
    <cellStyle name="Note 22" xfId="15933"/>
    <cellStyle name="Note 22 2" xfId="15934"/>
    <cellStyle name="Note 23" xfId="15935"/>
    <cellStyle name="Note 23 2" xfId="15936"/>
    <cellStyle name="Note 24" xfId="15937"/>
    <cellStyle name="Note 24 2" xfId="15938"/>
    <cellStyle name="Note 25" xfId="15939"/>
    <cellStyle name="Note 25 2" xfId="15940"/>
    <cellStyle name="Note 26" xfId="15941"/>
    <cellStyle name="Note 26 2" xfId="15942"/>
    <cellStyle name="Note 27" xfId="15943"/>
    <cellStyle name="Note 27 2" xfId="15944"/>
    <cellStyle name="Note 28" xfId="15945"/>
    <cellStyle name="Note 28 2" xfId="15946"/>
    <cellStyle name="Note 29" xfId="15947"/>
    <cellStyle name="Note 29 2" xfId="15948"/>
    <cellStyle name="Note 3" xfId="15949"/>
    <cellStyle name="Note 3 10" xfId="15950"/>
    <cellStyle name="Note 3 10 2" xfId="15951"/>
    <cellStyle name="Note 3 10 3" xfId="15952"/>
    <cellStyle name="Note 3 11" xfId="15953"/>
    <cellStyle name="Note 3 11 2" xfId="15954"/>
    <cellStyle name="Note 3 11 3" xfId="15955"/>
    <cellStyle name="Note 3 12" xfId="15956"/>
    <cellStyle name="Note 3 12 2" xfId="15957"/>
    <cellStyle name="Note 3 12 3" xfId="15958"/>
    <cellStyle name="Note 3 13" xfId="15959"/>
    <cellStyle name="Note 3 13 2" xfId="15960"/>
    <cellStyle name="Note 3 13 3" xfId="15961"/>
    <cellStyle name="Note 3 14" xfId="15962"/>
    <cellStyle name="Note 3 14 2" xfId="15963"/>
    <cellStyle name="Note 3 14 3" xfId="15964"/>
    <cellStyle name="Note 3 15" xfId="15965"/>
    <cellStyle name="Note 3 15 2" xfId="15966"/>
    <cellStyle name="Note 3 15 3" xfId="15967"/>
    <cellStyle name="Note 3 16" xfId="15968"/>
    <cellStyle name="Note 3 16 2" xfId="15969"/>
    <cellStyle name="Note 3 16 3" xfId="15970"/>
    <cellStyle name="Note 3 17" xfId="15971"/>
    <cellStyle name="Note 3 17 2" xfId="15972"/>
    <cellStyle name="Note 3 17 3" xfId="15973"/>
    <cellStyle name="Note 3 18" xfId="15974"/>
    <cellStyle name="Note 3 18 2" xfId="15975"/>
    <cellStyle name="Note 3 18 3" xfId="15976"/>
    <cellStyle name="Note 3 19" xfId="15977"/>
    <cellStyle name="Note 3 19 2" xfId="15978"/>
    <cellStyle name="Note 3 19 3" xfId="15979"/>
    <cellStyle name="Note 3 2" xfId="15980"/>
    <cellStyle name="Note 3 2 2" xfId="15981"/>
    <cellStyle name="Note 3 2 3" xfId="15982"/>
    <cellStyle name="Note 3 20" xfId="15983"/>
    <cellStyle name="Note 3 20 2" xfId="15984"/>
    <cellStyle name="Note 3 21" xfId="15985"/>
    <cellStyle name="Note 3 21 2" xfId="15986"/>
    <cellStyle name="Note 3 22" xfId="15987"/>
    <cellStyle name="Note 3 22 2" xfId="15988"/>
    <cellStyle name="Note 3 23" xfId="15989"/>
    <cellStyle name="Note 3 23 2" xfId="15990"/>
    <cellStyle name="Note 3 24" xfId="15991"/>
    <cellStyle name="Note 3 24 2" xfId="15992"/>
    <cellStyle name="Note 3 25" xfId="15993"/>
    <cellStyle name="Note 3 25 2" xfId="15994"/>
    <cellStyle name="Note 3 26" xfId="15995"/>
    <cellStyle name="Note 3 26 2" xfId="15996"/>
    <cellStyle name="Note 3 27" xfId="15997"/>
    <cellStyle name="Note 3 27 2" xfId="15998"/>
    <cellStyle name="Note 3 28" xfId="15999"/>
    <cellStyle name="Note 3 28 2" xfId="16000"/>
    <cellStyle name="Note 3 29" xfId="16001"/>
    <cellStyle name="Note 3 29 2" xfId="16002"/>
    <cellStyle name="Note 3 3" xfId="16003"/>
    <cellStyle name="Note 3 3 2" xfId="16004"/>
    <cellStyle name="Note 3 3 3" xfId="16005"/>
    <cellStyle name="Note 3 30" xfId="16006"/>
    <cellStyle name="Note 3 30 2" xfId="16007"/>
    <cellStyle name="Note 3 31" xfId="16008"/>
    <cellStyle name="Note 3 31 2" xfId="16009"/>
    <cellStyle name="Note 3 32" xfId="16010"/>
    <cellStyle name="Note 3 32 2" xfId="16011"/>
    <cellStyle name="Note 3 33" xfId="16012"/>
    <cellStyle name="Note 3 33 2" xfId="16013"/>
    <cellStyle name="Note 3 34" xfId="16014"/>
    <cellStyle name="Note 3 34 2" xfId="16015"/>
    <cellStyle name="Note 3 35" xfId="16016"/>
    <cellStyle name="Note 3 4" xfId="16017"/>
    <cellStyle name="Note 3 4 2" xfId="16018"/>
    <cellStyle name="Note 3 4 3" xfId="16019"/>
    <cellStyle name="Note 3 5" xfId="16020"/>
    <cellStyle name="Note 3 5 2" xfId="16021"/>
    <cellStyle name="Note 3 5 3" xfId="16022"/>
    <cellStyle name="Note 3 6" xfId="16023"/>
    <cellStyle name="Note 3 6 2" xfId="16024"/>
    <cellStyle name="Note 3 6 3" xfId="16025"/>
    <cellStyle name="Note 3 7" xfId="16026"/>
    <cellStyle name="Note 3 7 2" xfId="16027"/>
    <cellStyle name="Note 3 7 3" xfId="16028"/>
    <cellStyle name="Note 3 8" xfId="16029"/>
    <cellStyle name="Note 3 8 2" xfId="16030"/>
    <cellStyle name="Note 3 8 3" xfId="16031"/>
    <cellStyle name="Note 3 9" xfId="16032"/>
    <cellStyle name="Note 3 9 2" xfId="16033"/>
    <cellStyle name="Note 3 9 3" xfId="16034"/>
    <cellStyle name="Note 30" xfId="16035"/>
    <cellStyle name="Note 30 2" xfId="16036"/>
    <cellStyle name="Note 31" xfId="16037"/>
    <cellStyle name="Note 31 2" xfId="16038"/>
    <cellStyle name="Note 32" xfId="16039"/>
    <cellStyle name="Note 32 2" xfId="16040"/>
    <cellStyle name="Note 33" xfId="16041"/>
    <cellStyle name="Note 33 2" xfId="16042"/>
    <cellStyle name="Note 34" xfId="16043"/>
    <cellStyle name="Note 34 2" xfId="16044"/>
    <cellStyle name="Note 35" xfId="16045"/>
    <cellStyle name="Note 35 2" xfId="16046"/>
    <cellStyle name="Note 36" xfId="16047"/>
    <cellStyle name="Note 36 2" xfId="16048"/>
    <cellStyle name="Note 37" xfId="16049"/>
    <cellStyle name="Note 37 2" xfId="16050"/>
    <cellStyle name="Note 38" xfId="16051"/>
    <cellStyle name="Note 38 2" xfId="16052"/>
    <cellStyle name="Note 39" xfId="16053"/>
    <cellStyle name="Note 4" xfId="16054"/>
    <cellStyle name="Note 4 10" xfId="16055"/>
    <cellStyle name="Note 4 10 2" xfId="16056"/>
    <cellStyle name="Note 4 10 3" xfId="16057"/>
    <cellStyle name="Note 4 11" xfId="16058"/>
    <cellStyle name="Note 4 11 2" xfId="16059"/>
    <cellStyle name="Note 4 11 3" xfId="16060"/>
    <cellStyle name="Note 4 12" xfId="16061"/>
    <cellStyle name="Note 4 12 2" xfId="16062"/>
    <cellStyle name="Note 4 12 3" xfId="16063"/>
    <cellStyle name="Note 4 13" xfId="16064"/>
    <cellStyle name="Note 4 13 2" xfId="16065"/>
    <cellStyle name="Note 4 13 3" xfId="16066"/>
    <cellStyle name="Note 4 14" xfId="16067"/>
    <cellStyle name="Note 4 14 2" xfId="16068"/>
    <cellStyle name="Note 4 14 3" xfId="16069"/>
    <cellStyle name="Note 4 15" xfId="16070"/>
    <cellStyle name="Note 4 15 2" xfId="16071"/>
    <cellStyle name="Note 4 15 3" xfId="16072"/>
    <cellStyle name="Note 4 16" xfId="16073"/>
    <cellStyle name="Note 4 16 2" xfId="16074"/>
    <cellStyle name="Note 4 16 3" xfId="16075"/>
    <cellStyle name="Note 4 17" xfId="16076"/>
    <cellStyle name="Note 4 17 2" xfId="16077"/>
    <cellStyle name="Note 4 17 3" xfId="16078"/>
    <cellStyle name="Note 4 18" xfId="16079"/>
    <cellStyle name="Note 4 18 2" xfId="16080"/>
    <cellStyle name="Note 4 18 3" xfId="16081"/>
    <cellStyle name="Note 4 19" xfId="16082"/>
    <cellStyle name="Note 4 19 2" xfId="16083"/>
    <cellStyle name="Note 4 19 3" xfId="16084"/>
    <cellStyle name="Note 4 2" xfId="16085"/>
    <cellStyle name="Note 4 2 2" xfId="16086"/>
    <cellStyle name="Note 4 2 3" xfId="16087"/>
    <cellStyle name="Note 4 20" xfId="16088"/>
    <cellStyle name="Note 4 20 2" xfId="16089"/>
    <cellStyle name="Note 4 21" xfId="16090"/>
    <cellStyle name="Note 4 21 2" xfId="16091"/>
    <cellStyle name="Note 4 22" xfId="16092"/>
    <cellStyle name="Note 4 22 2" xfId="16093"/>
    <cellStyle name="Note 4 23" xfId="16094"/>
    <cellStyle name="Note 4 23 2" xfId="16095"/>
    <cellStyle name="Note 4 24" xfId="16096"/>
    <cellStyle name="Note 4 24 2" xfId="16097"/>
    <cellStyle name="Note 4 25" xfId="16098"/>
    <cellStyle name="Note 4 25 2" xfId="16099"/>
    <cellStyle name="Note 4 26" xfId="16100"/>
    <cellStyle name="Note 4 26 2" xfId="16101"/>
    <cellStyle name="Note 4 27" xfId="16102"/>
    <cellStyle name="Note 4 27 2" xfId="16103"/>
    <cellStyle name="Note 4 28" xfId="16104"/>
    <cellStyle name="Note 4 28 2" xfId="16105"/>
    <cellStyle name="Note 4 29" xfId="16106"/>
    <cellStyle name="Note 4 29 2" xfId="16107"/>
    <cellStyle name="Note 4 3" xfId="16108"/>
    <cellStyle name="Note 4 3 2" xfId="16109"/>
    <cellStyle name="Note 4 3 3" xfId="16110"/>
    <cellStyle name="Note 4 30" xfId="16111"/>
    <cellStyle name="Note 4 30 2" xfId="16112"/>
    <cellStyle name="Note 4 31" xfId="16113"/>
    <cellStyle name="Note 4 31 2" xfId="16114"/>
    <cellStyle name="Note 4 32" xfId="16115"/>
    <cellStyle name="Note 4 32 2" xfId="16116"/>
    <cellStyle name="Note 4 33" xfId="16117"/>
    <cellStyle name="Note 4 33 2" xfId="16118"/>
    <cellStyle name="Note 4 34" xfId="16119"/>
    <cellStyle name="Note 4 34 2" xfId="16120"/>
    <cellStyle name="Note 4 35" xfId="16121"/>
    <cellStyle name="Note 4 4" xfId="16122"/>
    <cellStyle name="Note 4 4 2" xfId="16123"/>
    <cellStyle name="Note 4 4 3" xfId="16124"/>
    <cellStyle name="Note 4 5" xfId="16125"/>
    <cellStyle name="Note 4 5 2" xfId="16126"/>
    <cellStyle name="Note 4 5 3" xfId="16127"/>
    <cellStyle name="Note 4 6" xfId="16128"/>
    <cellStyle name="Note 4 6 2" xfId="16129"/>
    <cellStyle name="Note 4 6 3" xfId="16130"/>
    <cellStyle name="Note 4 7" xfId="16131"/>
    <cellStyle name="Note 4 7 2" xfId="16132"/>
    <cellStyle name="Note 4 7 3" xfId="16133"/>
    <cellStyle name="Note 4 8" xfId="16134"/>
    <cellStyle name="Note 4 8 2" xfId="16135"/>
    <cellStyle name="Note 4 8 3" xfId="16136"/>
    <cellStyle name="Note 4 9" xfId="16137"/>
    <cellStyle name="Note 4 9 2" xfId="16138"/>
    <cellStyle name="Note 4 9 3" xfId="16139"/>
    <cellStyle name="Note 40" xfId="16140"/>
    <cellStyle name="Note 41" xfId="16141"/>
    <cellStyle name="Note 5" xfId="16142"/>
    <cellStyle name="Note 5 10" xfId="16143"/>
    <cellStyle name="Note 5 10 2" xfId="16144"/>
    <cellStyle name="Note 5 10 3" xfId="16145"/>
    <cellStyle name="Note 5 11" xfId="16146"/>
    <cellStyle name="Note 5 11 2" xfId="16147"/>
    <cellStyle name="Note 5 11 3" xfId="16148"/>
    <cellStyle name="Note 5 12" xfId="16149"/>
    <cellStyle name="Note 5 12 2" xfId="16150"/>
    <cellStyle name="Note 5 12 3" xfId="16151"/>
    <cellStyle name="Note 5 13" xfId="16152"/>
    <cellStyle name="Note 5 13 2" xfId="16153"/>
    <cellStyle name="Note 5 13 3" xfId="16154"/>
    <cellStyle name="Note 5 14" xfId="16155"/>
    <cellStyle name="Note 5 14 2" xfId="16156"/>
    <cellStyle name="Note 5 14 3" xfId="16157"/>
    <cellStyle name="Note 5 15" xfId="16158"/>
    <cellStyle name="Note 5 15 2" xfId="16159"/>
    <cellStyle name="Note 5 15 3" xfId="16160"/>
    <cellStyle name="Note 5 16" xfId="16161"/>
    <cellStyle name="Note 5 16 2" xfId="16162"/>
    <cellStyle name="Note 5 16 3" xfId="16163"/>
    <cellStyle name="Note 5 17" xfId="16164"/>
    <cellStyle name="Note 5 17 2" xfId="16165"/>
    <cellStyle name="Note 5 17 3" xfId="16166"/>
    <cellStyle name="Note 5 18" xfId="16167"/>
    <cellStyle name="Note 5 18 2" xfId="16168"/>
    <cellStyle name="Note 5 18 3" xfId="16169"/>
    <cellStyle name="Note 5 19" xfId="16170"/>
    <cellStyle name="Note 5 19 2" xfId="16171"/>
    <cellStyle name="Note 5 19 3" xfId="16172"/>
    <cellStyle name="Note 5 2" xfId="16173"/>
    <cellStyle name="Note 5 2 2" xfId="16174"/>
    <cellStyle name="Note 5 2 3" xfId="16175"/>
    <cellStyle name="Note 5 20" xfId="16176"/>
    <cellStyle name="Note 5 20 2" xfId="16177"/>
    <cellStyle name="Note 5 21" xfId="16178"/>
    <cellStyle name="Note 5 21 2" xfId="16179"/>
    <cellStyle name="Note 5 22" xfId="16180"/>
    <cellStyle name="Note 5 22 2" xfId="16181"/>
    <cellStyle name="Note 5 23" xfId="16182"/>
    <cellStyle name="Note 5 23 2" xfId="16183"/>
    <cellStyle name="Note 5 24" xfId="16184"/>
    <cellStyle name="Note 5 24 2" xfId="16185"/>
    <cellStyle name="Note 5 25" xfId="16186"/>
    <cellStyle name="Note 5 25 2" xfId="16187"/>
    <cellStyle name="Note 5 26" xfId="16188"/>
    <cellStyle name="Note 5 26 2" xfId="16189"/>
    <cellStyle name="Note 5 27" xfId="16190"/>
    <cellStyle name="Note 5 27 2" xfId="16191"/>
    <cellStyle name="Note 5 28" xfId="16192"/>
    <cellStyle name="Note 5 28 2" xfId="16193"/>
    <cellStyle name="Note 5 29" xfId="16194"/>
    <cellStyle name="Note 5 29 2" xfId="16195"/>
    <cellStyle name="Note 5 3" xfId="16196"/>
    <cellStyle name="Note 5 3 2" xfId="16197"/>
    <cellStyle name="Note 5 3 3" xfId="16198"/>
    <cellStyle name="Note 5 30" xfId="16199"/>
    <cellStyle name="Note 5 30 2" xfId="16200"/>
    <cellStyle name="Note 5 31" xfId="16201"/>
    <cellStyle name="Note 5 31 2" xfId="16202"/>
    <cellStyle name="Note 5 32" xfId="16203"/>
    <cellStyle name="Note 5 32 2" xfId="16204"/>
    <cellStyle name="Note 5 33" xfId="16205"/>
    <cellStyle name="Note 5 33 2" xfId="16206"/>
    <cellStyle name="Note 5 34" xfId="16207"/>
    <cellStyle name="Note 5 34 2" xfId="16208"/>
    <cellStyle name="Note 5 35" xfId="16209"/>
    <cellStyle name="Note 5 4" xfId="16210"/>
    <cellStyle name="Note 5 4 2" xfId="16211"/>
    <cellStyle name="Note 5 4 3" xfId="16212"/>
    <cellStyle name="Note 5 5" xfId="16213"/>
    <cellStyle name="Note 5 5 2" xfId="16214"/>
    <cellStyle name="Note 5 5 3" xfId="16215"/>
    <cellStyle name="Note 5 6" xfId="16216"/>
    <cellStyle name="Note 5 6 2" xfId="16217"/>
    <cellStyle name="Note 5 6 3" xfId="16218"/>
    <cellStyle name="Note 5 7" xfId="16219"/>
    <cellStyle name="Note 5 7 2" xfId="16220"/>
    <cellStyle name="Note 5 7 3" xfId="16221"/>
    <cellStyle name="Note 5 8" xfId="16222"/>
    <cellStyle name="Note 5 8 2" xfId="16223"/>
    <cellStyle name="Note 5 8 3" xfId="16224"/>
    <cellStyle name="Note 5 9" xfId="16225"/>
    <cellStyle name="Note 5 9 2" xfId="16226"/>
    <cellStyle name="Note 5 9 3" xfId="16227"/>
    <cellStyle name="Note 6" xfId="16228"/>
    <cellStyle name="Note 6 10" xfId="16229"/>
    <cellStyle name="Note 6 10 2" xfId="16230"/>
    <cellStyle name="Note 6 10 3" xfId="16231"/>
    <cellStyle name="Note 6 11" xfId="16232"/>
    <cellStyle name="Note 6 11 2" xfId="16233"/>
    <cellStyle name="Note 6 11 3" xfId="16234"/>
    <cellStyle name="Note 6 12" xfId="16235"/>
    <cellStyle name="Note 6 12 2" xfId="16236"/>
    <cellStyle name="Note 6 12 3" xfId="16237"/>
    <cellStyle name="Note 6 13" xfId="16238"/>
    <cellStyle name="Note 6 13 2" xfId="16239"/>
    <cellStyle name="Note 6 13 3" xfId="16240"/>
    <cellStyle name="Note 6 14" xfId="16241"/>
    <cellStyle name="Note 6 14 2" xfId="16242"/>
    <cellStyle name="Note 6 14 3" xfId="16243"/>
    <cellStyle name="Note 6 15" xfId="16244"/>
    <cellStyle name="Note 6 15 2" xfId="16245"/>
    <cellStyle name="Note 6 15 3" xfId="16246"/>
    <cellStyle name="Note 6 16" xfId="16247"/>
    <cellStyle name="Note 6 16 2" xfId="16248"/>
    <cellStyle name="Note 6 16 3" xfId="16249"/>
    <cellStyle name="Note 6 17" xfId="16250"/>
    <cellStyle name="Note 6 17 2" xfId="16251"/>
    <cellStyle name="Note 6 17 3" xfId="16252"/>
    <cellStyle name="Note 6 18" xfId="16253"/>
    <cellStyle name="Note 6 18 2" xfId="16254"/>
    <cellStyle name="Note 6 18 3" xfId="16255"/>
    <cellStyle name="Note 6 19" xfId="16256"/>
    <cellStyle name="Note 6 19 2" xfId="16257"/>
    <cellStyle name="Note 6 19 3" xfId="16258"/>
    <cellStyle name="Note 6 2" xfId="16259"/>
    <cellStyle name="Note 6 2 2" xfId="16260"/>
    <cellStyle name="Note 6 2 3" xfId="16261"/>
    <cellStyle name="Note 6 20" xfId="16262"/>
    <cellStyle name="Note 6 20 2" xfId="16263"/>
    <cellStyle name="Note 6 20 3" xfId="16264"/>
    <cellStyle name="Note 6 21" xfId="16265"/>
    <cellStyle name="Note 6 21 2" xfId="16266"/>
    <cellStyle name="Note 6 21 3" xfId="16267"/>
    <cellStyle name="Note 6 22" xfId="16268"/>
    <cellStyle name="Note 6 22 2" xfId="16269"/>
    <cellStyle name="Note 6 22 3" xfId="16270"/>
    <cellStyle name="Note 6 23" xfId="16271"/>
    <cellStyle name="Note 6 23 2" xfId="16272"/>
    <cellStyle name="Note 6 23 3" xfId="16273"/>
    <cellStyle name="Note 6 24" xfId="16274"/>
    <cellStyle name="Note 6 24 2" xfId="16275"/>
    <cellStyle name="Note 6 24 3" xfId="16276"/>
    <cellStyle name="Note 6 25" xfId="16277"/>
    <cellStyle name="Note 6 25 2" xfId="16278"/>
    <cellStyle name="Note 6 25 3" xfId="16279"/>
    <cellStyle name="Note 6 26" xfId="16280"/>
    <cellStyle name="Note 6 26 2" xfId="16281"/>
    <cellStyle name="Note 6 26 3" xfId="16282"/>
    <cellStyle name="Note 6 27" xfId="16283"/>
    <cellStyle name="Note 6 27 2" xfId="16284"/>
    <cellStyle name="Note 6 27 3" xfId="16285"/>
    <cellStyle name="Note 6 28" xfId="16286"/>
    <cellStyle name="Note 6 28 2" xfId="16287"/>
    <cellStyle name="Note 6 28 3" xfId="16288"/>
    <cellStyle name="Note 6 29" xfId="16289"/>
    <cellStyle name="Note 6 29 2" xfId="16290"/>
    <cellStyle name="Note 6 29 3" xfId="16291"/>
    <cellStyle name="Note 6 3" xfId="16292"/>
    <cellStyle name="Note 6 3 2" xfId="16293"/>
    <cellStyle name="Note 6 3 3" xfId="16294"/>
    <cellStyle name="Note 6 30" xfId="16295"/>
    <cellStyle name="Note 6 30 2" xfId="16296"/>
    <cellStyle name="Note 6 30 3" xfId="16297"/>
    <cellStyle name="Note 6 31" xfId="16298"/>
    <cellStyle name="Note 6 31 2" xfId="16299"/>
    <cellStyle name="Note 6 31 3" xfId="16300"/>
    <cellStyle name="Note 6 32" xfId="16301"/>
    <cellStyle name="Note 6 32 2" xfId="16302"/>
    <cellStyle name="Note 6 32 3" xfId="16303"/>
    <cellStyle name="Note 6 33" xfId="16304"/>
    <cellStyle name="Note 6 33 2" xfId="16305"/>
    <cellStyle name="Note 6 33 3" xfId="16306"/>
    <cellStyle name="Note 6 34" xfId="16307"/>
    <cellStyle name="Note 6 34 2" xfId="16308"/>
    <cellStyle name="Note 6 35" xfId="16309"/>
    <cellStyle name="Note 6 35 2" xfId="16310"/>
    <cellStyle name="Note 6 36" xfId="16311"/>
    <cellStyle name="Note 6 36 2" xfId="16312"/>
    <cellStyle name="Note 6 37" xfId="16313"/>
    <cellStyle name="Note 6 37 2" xfId="16314"/>
    <cellStyle name="Note 6 38" xfId="16315"/>
    <cellStyle name="Note 6 38 2" xfId="16316"/>
    <cellStyle name="Note 6 39" xfId="16317"/>
    <cellStyle name="Note 6 39 2" xfId="16318"/>
    <cellStyle name="Note 6 4" xfId="16319"/>
    <cellStyle name="Note 6 4 2" xfId="16320"/>
    <cellStyle name="Note 6 4 3" xfId="16321"/>
    <cellStyle name="Note 6 40" xfId="16322"/>
    <cellStyle name="Note 6 41" xfId="16323"/>
    <cellStyle name="Note 6 5" xfId="16324"/>
    <cellStyle name="Note 6 5 2" xfId="16325"/>
    <cellStyle name="Note 6 5 3" xfId="16326"/>
    <cellStyle name="Note 6 6" xfId="16327"/>
    <cellStyle name="Note 6 6 2" xfId="16328"/>
    <cellStyle name="Note 6 6 3" xfId="16329"/>
    <cellStyle name="Note 6 7" xfId="16330"/>
    <cellStyle name="Note 6 7 2" xfId="16331"/>
    <cellStyle name="Note 6 7 3" xfId="16332"/>
    <cellStyle name="Note 6 8" xfId="16333"/>
    <cellStyle name="Note 6 8 2" xfId="16334"/>
    <cellStyle name="Note 6 8 3" xfId="16335"/>
    <cellStyle name="Note 6 9" xfId="16336"/>
    <cellStyle name="Note 6 9 2" xfId="16337"/>
    <cellStyle name="Note 6 9 3" xfId="16338"/>
    <cellStyle name="Note 7" xfId="16339"/>
    <cellStyle name="Note 7 10" xfId="16340"/>
    <cellStyle name="Note 7 10 2" xfId="16341"/>
    <cellStyle name="Note 7 10 3" xfId="16342"/>
    <cellStyle name="Note 7 11" xfId="16343"/>
    <cellStyle name="Note 7 11 2" xfId="16344"/>
    <cellStyle name="Note 7 11 3" xfId="16345"/>
    <cellStyle name="Note 7 12" xfId="16346"/>
    <cellStyle name="Note 7 12 2" xfId="16347"/>
    <cellStyle name="Note 7 12 3" xfId="16348"/>
    <cellStyle name="Note 7 13" xfId="16349"/>
    <cellStyle name="Note 7 13 2" xfId="16350"/>
    <cellStyle name="Note 7 13 3" xfId="16351"/>
    <cellStyle name="Note 7 14" xfId="16352"/>
    <cellStyle name="Note 7 14 2" xfId="16353"/>
    <cellStyle name="Note 7 14 3" xfId="16354"/>
    <cellStyle name="Note 7 15" xfId="16355"/>
    <cellStyle name="Note 7 15 2" xfId="16356"/>
    <cellStyle name="Note 7 15 3" xfId="16357"/>
    <cellStyle name="Note 7 16" xfId="16358"/>
    <cellStyle name="Note 7 16 2" xfId="16359"/>
    <cellStyle name="Note 7 16 3" xfId="16360"/>
    <cellStyle name="Note 7 17" xfId="16361"/>
    <cellStyle name="Note 7 17 2" xfId="16362"/>
    <cellStyle name="Note 7 17 3" xfId="16363"/>
    <cellStyle name="Note 7 18" xfId="16364"/>
    <cellStyle name="Note 7 18 2" xfId="16365"/>
    <cellStyle name="Note 7 18 3" xfId="16366"/>
    <cellStyle name="Note 7 19" xfId="16367"/>
    <cellStyle name="Note 7 19 2" xfId="16368"/>
    <cellStyle name="Note 7 19 3" xfId="16369"/>
    <cellStyle name="Note 7 2" xfId="16370"/>
    <cellStyle name="Note 7 2 2" xfId="16371"/>
    <cellStyle name="Note 7 2 3" xfId="16372"/>
    <cellStyle name="Note 7 20" xfId="16373"/>
    <cellStyle name="Note 7 20 2" xfId="16374"/>
    <cellStyle name="Note 7 20 3" xfId="16375"/>
    <cellStyle name="Note 7 21" xfId="16376"/>
    <cellStyle name="Note 7 21 2" xfId="16377"/>
    <cellStyle name="Note 7 21 3" xfId="16378"/>
    <cellStyle name="Note 7 22" xfId="16379"/>
    <cellStyle name="Note 7 22 2" xfId="16380"/>
    <cellStyle name="Note 7 22 3" xfId="16381"/>
    <cellStyle name="Note 7 23" xfId="16382"/>
    <cellStyle name="Note 7 23 2" xfId="16383"/>
    <cellStyle name="Note 7 23 3" xfId="16384"/>
    <cellStyle name="Note 7 24" xfId="16385"/>
    <cellStyle name="Note 7 24 2" xfId="16386"/>
    <cellStyle name="Note 7 24 3" xfId="16387"/>
    <cellStyle name="Note 7 25" xfId="16388"/>
    <cellStyle name="Note 7 25 2" xfId="16389"/>
    <cellStyle name="Note 7 25 3" xfId="16390"/>
    <cellStyle name="Note 7 26" xfId="16391"/>
    <cellStyle name="Note 7 26 2" xfId="16392"/>
    <cellStyle name="Note 7 26 3" xfId="16393"/>
    <cellStyle name="Note 7 27" xfId="16394"/>
    <cellStyle name="Note 7 27 2" xfId="16395"/>
    <cellStyle name="Note 7 27 3" xfId="16396"/>
    <cellStyle name="Note 7 28" xfId="16397"/>
    <cellStyle name="Note 7 28 2" xfId="16398"/>
    <cellStyle name="Note 7 28 3" xfId="16399"/>
    <cellStyle name="Note 7 29" xfId="16400"/>
    <cellStyle name="Note 7 29 2" xfId="16401"/>
    <cellStyle name="Note 7 29 3" xfId="16402"/>
    <cellStyle name="Note 7 3" xfId="16403"/>
    <cellStyle name="Note 7 3 2" xfId="16404"/>
    <cellStyle name="Note 7 3 3" xfId="16405"/>
    <cellStyle name="Note 7 30" xfId="16406"/>
    <cellStyle name="Note 7 30 2" xfId="16407"/>
    <cellStyle name="Note 7 30 3" xfId="16408"/>
    <cellStyle name="Note 7 31" xfId="16409"/>
    <cellStyle name="Note 7 31 2" xfId="16410"/>
    <cellStyle name="Note 7 31 3" xfId="16411"/>
    <cellStyle name="Note 7 32" xfId="16412"/>
    <cellStyle name="Note 7 32 2" xfId="16413"/>
    <cellStyle name="Note 7 32 3" xfId="16414"/>
    <cellStyle name="Note 7 33" xfId="16415"/>
    <cellStyle name="Note 7 33 2" xfId="16416"/>
    <cellStyle name="Note 7 33 3" xfId="16417"/>
    <cellStyle name="Note 7 34" xfId="16418"/>
    <cellStyle name="Note 7 34 2" xfId="16419"/>
    <cellStyle name="Note 7 35" xfId="16420"/>
    <cellStyle name="Note 7 35 2" xfId="16421"/>
    <cellStyle name="Note 7 36" xfId="16422"/>
    <cellStyle name="Note 7 36 2" xfId="16423"/>
    <cellStyle name="Note 7 37" xfId="16424"/>
    <cellStyle name="Note 7 37 2" xfId="16425"/>
    <cellStyle name="Note 7 38" xfId="16426"/>
    <cellStyle name="Note 7 38 2" xfId="16427"/>
    <cellStyle name="Note 7 39" xfId="16428"/>
    <cellStyle name="Note 7 39 2" xfId="16429"/>
    <cellStyle name="Note 7 4" xfId="16430"/>
    <cellStyle name="Note 7 4 2" xfId="16431"/>
    <cellStyle name="Note 7 4 3" xfId="16432"/>
    <cellStyle name="Note 7 40" xfId="16433"/>
    <cellStyle name="Note 7 41" xfId="16434"/>
    <cellStyle name="Note 7 5" xfId="16435"/>
    <cellStyle name="Note 7 5 2" xfId="16436"/>
    <cellStyle name="Note 7 5 3" xfId="16437"/>
    <cellStyle name="Note 7 6" xfId="16438"/>
    <cellStyle name="Note 7 6 2" xfId="16439"/>
    <cellStyle name="Note 7 6 3" xfId="16440"/>
    <cellStyle name="Note 7 7" xfId="16441"/>
    <cellStyle name="Note 7 7 2" xfId="16442"/>
    <cellStyle name="Note 7 7 3" xfId="16443"/>
    <cellStyle name="Note 7 8" xfId="16444"/>
    <cellStyle name="Note 7 8 2" xfId="16445"/>
    <cellStyle name="Note 7 8 3" xfId="16446"/>
    <cellStyle name="Note 7 9" xfId="16447"/>
    <cellStyle name="Note 7 9 2" xfId="16448"/>
    <cellStyle name="Note 7 9 3" xfId="16449"/>
    <cellStyle name="Note 8" xfId="16450"/>
    <cellStyle name="Note 8 10" xfId="16451"/>
    <cellStyle name="Note 8 10 2" xfId="16452"/>
    <cellStyle name="Note 8 11" xfId="16453"/>
    <cellStyle name="Note 8 11 2" xfId="16454"/>
    <cellStyle name="Note 8 12" xfId="16455"/>
    <cellStyle name="Note 8 12 2" xfId="16456"/>
    <cellStyle name="Note 8 13" xfId="16457"/>
    <cellStyle name="Note 8 13 2" xfId="16458"/>
    <cellStyle name="Note 8 14" xfId="16459"/>
    <cellStyle name="Note 8 14 2" xfId="16460"/>
    <cellStyle name="Note 8 15" xfId="16461"/>
    <cellStyle name="Note 8 15 2" xfId="16462"/>
    <cellStyle name="Note 8 16" xfId="16463"/>
    <cellStyle name="Note 8 16 2" xfId="16464"/>
    <cellStyle name="Note 8 17" xfId="16465"/>
    <cellStyle name="Note 8 17 2" xfId="16466"/>
    <cellStyle name="Note 8 18" xfId="16467"/>
    <cellStyle name="Note 8 18 2" xfId="16468"/>
    <cellStyle name="Note 8 19" xfId="16469"/>
    <cellStyle name="Note 8 19 2" xfId="16470"/>
    <cellStyle name="Note 8 2" xfId="16471"/>
    <cellStyle name="Note 8 2 2" xfId="16472"/>
    <cellStyle name="Note 8 20" xfId="16473"/>
    <cellStyle name="Note 8 20 2" xfId="16474"/>
    <cellStyle name="Note 8 21" xfId="16475"/>
    <cellStyle name="Note 8 21 2" xfId="16476"/>
    <cellStyle name="Note 8 22" xfId="16477"/>
    <cellStyle name="Note 8 22 2" xfId="16478"/>
    <cellStyle name="Note 8 23" xfId="16479"/>
    <cellStyle name="Note 8 23 2" xfId="16480"/>
    <cellStyle name="Note 8 24" xfId="16481"/>
    <cellStyle name="Note 8 24 2" xfId="16482"/>
    <cellStyle name="Note 8 25" xfId="16483"/>
    <cellStyle name="Note 8 25 2" xfId="16484"/>
    <cellStyle name="Note 8 26" xfId="16485"/>
    <cellStyle name="Note 8 26 2" xfId="16486"/>
    <cellStyle name="Note 8 27" xfId="16487"/>
    <cellStyle name="Note 8 27 2" xfId="16488"/>
    <cellStyle name="Note 8 28" xfId="16489"/>
    <cellStyle name="Note 8 28 2" xfId="16490"/>
    <cellStyle name="Note 8 29" xfId="16491"/>
    <cellStyle name="Note 8 29 2" xfId="16492"/>
    <cellStyle name="Note 8 3" xfId="16493"/>
    <cellStyle name="Note 8 3 2" xfId="16494"/>
    <cellStyle name="Note 8 30" xfId="16495"/>
    <cellStyle name="Note 8 30 2" xfId="16496"/>
    <cellStyle name="Note 8 31" xfId="16497"/>
    <cellStyle name="Note 8 31 2" xfId="16498"/>
    <cellStyle name="Note 8 32" xfId="16499"/>
    <cellStyle name="Note 8 33" xfId="16500"/>
    <cellStyle name="Note 8 4" xfId="16501"/>
    <cellStyle name="Note 8 4 2" xfId="16502"/>
    <cellStyle name="Note 8 5" xfId="16503"/>
    <cellStyle name="Note 8 5 2" xfId="16504"/>
    <cellStyle name="Note 8 6" xfId="16505"/>
    <cellStyle name="Note 8 6 2" xfId="16506"/>
    <cellStyle name="Note 8 7" xfId="16507"/>
    <cellStyle name="Note 8 7 2" xfId="16508"/>
    <cellStyle name="Note 8 8" xfId="16509"/>
    <cellStyle name="Note 8 8 2" xfId="16510"/>
    <cellStyle name="Note 8 9" xfId="16511"/>
    <cellStyle name="Note 8 9 2" xfId="16512"/>
    <cellStyle name="Note 9" xfId="16513"/>
    <cellStyle name="Note 9 10" xfId="16514"/>
    <cellStyle name="Note 9 10 2" xfId="16515"/>
    <cellStyle name="Note 9 11" xfId="16516"/>
    <cellStyle name="Note 9 11 2" xfId="16517"/>
    <cellStyle name="Note 9 11 3" xfId="16518"/>
    <cellStyle name="Note 9 11 4" xfId="16519"/>
    <cellStyle name="Note 9 12" xfId="16520"/>
    <cellStyle name="Note 9 12 2" xfId="16521"/>
    <cellStyle name="Note 9 12 3" xfId="16522"/>
    <cellStyle name="Note 9 12 4" xfId="16523"/>
    <cellStyle name="Note 9 13" xfId="16524"/>
    <cellStyle name="Note 9 13 2" xfId="16525"/>
    <cellStyle name="Note 9 13 3" xfId="16526"/>
    <cellStyle name="Note 9 13 4" xfId="16527"/>
    <cellStyle name="Note 9 14" xfId="16528"/>
    <cellStyle name="Note 9 14 2" xfId="16529"/>
    <cellStyle name="Note 9 14 3" xfId="16530"/>
    <cellStyle name="Note 9 14 4" xfId="16531"/>
    <cellStyle name="Note 9 15" xfId="16532"/>
    <cellStyle name="Note 9 15 2" xfId="16533"/>
    <cellStyle name="Note 9 15 3" xfId="16534"/>
    <cellStyle name="Note 9 15 4" xfId="16535"/>
    <cellStyle name="Note 9 16" xfId="16536"/>
    <cellStyle name="Note 9 16 2" xfId="16537"/>
    <cellStyle name="Note 9 16 3" xfId="16538"/>
    <cellStyle name="Note 9 16 4" xfId="16539"/>
    <cellStyle name="Note 9 17" xfId="16540"/>
    <cellStyle name="Note 9 17 2" xfId="16541"/>
    <cellStyle name="Note 9 17 3" xfId="16542"/>
    <cellStyle name="Note 9 17 4" xfId="16543"/>
    <cellStyle name="Note 9 18" xfId="16544"/>
    <cellStyle name="Note 9 18 2" xfId="16545"/>
    <cellStyle name="Note 9 18 3" xfId="16546"/>
    <cellStyle name="Note 9 18 4" xfId="16547"/>
    <cellStyle name="Note 9 19" xfId="16548"/>
    <cellStyle name="Note 9 19 2" xfId="16549"/>
    <cellStyle name="Note 9 19 3" xfId="16550"/>
    <cellStyle name="Note 9 19 4" xfId="16551"/>
    <cellStyle name="Note 9 2" xfId="16552"/>
    <cellStyle name="Note 9 2 2" xfId="16553"/>
    <cellStyle name="Note 9 2 2 2" xfId="16554"/>
    <cellStyle name="Note 9 2 2 3" xfId="16555"/>
    <cellStyle name="Note 9 2 3" xfId="16556"/>
    <cellStyle name="Note 9 20" xfId="16557"/>
    <cellStyle name="Note 9 20 2" xfId="16558"/>
    <cellStyle name="Note 9 20 3" xfId="16559"/>
    <cellStyle name="Note 9 20 4" xfId="16560"/>
    <cellStyle name="Note 9 21" xfId="16561"/>
    <cellStyle name="Note 9 21 2" xfId="16562"/>
    <cellStyle name="Note 9 21 3" xfId="16563"/>
    <cellStyle name="Note 9 21 4" xfId="16564"/>
    <cellStyle name="Note 9 22" xfId="16565"/>
    <cellStyle name="Note 9 22 2" xfId="16566"/>
    <cellStyle name="Note 9 22 3" xfId="16567"/>
    <cellStyle name="Note 9 22 4" xfId="16568"/>
    <cellStyle name="Note 9 23" xfId="16569"/>
    <cellStyle name="Note 9 23 2" xfId="16570"/>
    <cellStyle name="Note 9 23 3" xfId="16571"/>
    <cellStyle name="Note 9 23 4" xfId="16572"/>
    <cellStyle name="Note 9 24" xfId="16573"/>
    <cellStyle name="Note 9 24 2" xfId="16574"/>
    <cellStyle name="Note 9 24 3" xfId="16575"/>
    <cellStyle name="Note 9 24 4" xfId="16576"/>
    <cellStyle name="Note 9 25" xfId="16577"/>
    <cellStyle name="Note 9 25 2" xfId="16578"/>
    <cellStyle name="Note 9 26" xfId="16579"/>
    <cellStyle name="Note 9 26 2" xfId="16580"/>
    <cellStyle name="Note 9 27" xfId="16581"/>
    <cellStyle name="Note 9 27 2" xfId="16582"/>
    <cellStyle name="Note 9 28" xfId="16583"/>
    <cellStyle name="Note 9 28 2" xfId="16584"/>
    <cellStyle name="Note 9 29" xfId="16585"/>
    <cellStyle name="Note 9 29 2" xfId="16586"/>
    <cellStyle name="Note 9 3" xfId="16587"/>
    <cellStyle name="Note 9 3 2" xfId="16588"/>
    <cellStyle name="Note 9 3 2 2" xfId="16589"/>
    <cellStyle name="Note 9 3 2 3" xfId="16590"/>
    <cellStyle name="Note 9 3 3" xfId="16591"/>
    <cellStyle name="Note 9 30" xfId="16592"/>
    <cellStyle name="Note 9 4" xfId="16593"/>
    <cellStyle name="Note 9 4 2" xfId="16594"/>
    <cellStyle name="Note 9 4 2 2" xfId="16595"/>
    <cellStyle name="Note 9 4 2 3" xfId="16596"/>
    <cellStyle name="Note 9 4 3" xfId="16597"/>
    <cellStyle name="Note 9 5" xfId="16598"/>
    <cellStyle name="Note 9 5 2" xfId="16599"/>
    <cellStyle name="Note 9 5 3" xfId="16600"/>
    <cellStyle name="Note 9 6" xfId="16601"/>
    <cellStyle name="Note 9 6 2" xfId="16602"/>
    <cellStyle name="Note 9 6 3" xfId="16603"/>
    <cellStyle name="Note 9 7" xfId="16604"/>
    <cellStyle name="Note 9 7 2" xfId="16605"/>
    <cellStyle name="Note 9 7 3" xfId="16606"/>
    <cellStyle name="Note 9 8" xfId="16607"/>
    <cellStyle name="Note 9 8 2" xfId="16608"/>
    <cellStyle name="Note 9 8 3" xfId="16609"/>
    <cellStyle name="Note 9 9" xfId="16610"/>
    <cellStyle name="Note 9 9 2" xfId="16611"/>
    <cellStyle name="Note 9 9 3" xfId="16612"/>
    <cellStyle name="Output 2" xfId="16613"/>
    <cellStyle name="Output 2 2" xfId="16614"/>
    <cellStyle name="Output 2 2 2" xfId="16615"/>
    <cellStyle name="Output 2 3" xfId="16616"/>
    <cellStyle name="Output 2 3 2" xfId="16617"/>
    <cellStyle name="Output 2 4" xfId="16618"/>
    <cellStyle name="Output 3" xfId="16619"/>
    <cellStyle name="Output 3 2" xfId="16620"/>
    <cellStyle name="Output 3 2 2" xfId="16621"/>
    <cellStyle name="Output 3 3" xfId="16622"/>
    <cellStyle name="Output 4" xfId="16623"/>
    <cellStyle name="Output 4 2" xfId="16624"/>
    <cellStyle name="Output 5" xfId="16625"/>
    <cellStyle name="Output 5 2" xfId="16626"/>
    <cellStyle name="Output 5 2 2" xfId="16627"/>
    <cellStyle name="Output 6" xfId="16628"/>
    <cellStyle name="Output 6 2" xfId="16629"/>
    <cellStyle name="Output 6 2 2" xfId="16630"/>
    <cellStyle name="Output 7" xfId="16631"/>
    <cellStyle name="Output 8" xfId="18551"/>
    <cellStyle name="Percent" xfId="2" builtinId="5"/>
    <cellStyle name="Percent 10" xfId="16632"/>
    <cellStyle name="Percent 10 2" xfId="8"/>
    <cellStyle name="Percent 10 2 2" xfId="16633"/>
    <cellStyle name="Percent 10 2 2 2" xfId="16634"/>
    <cellStyle name="Percent 10 2 3" xfId="16635"/>
    <cellStyle name="Percent 10 3" xfId="16636"/>
    <cellStyle name="Percent 10 3 2" xfId="16637"/>
    <cellStyle name="Percent 10 3 2 2" xfId="16638"/>
    <cellStyle name="Percent 10 3 3" xfId="16639"/>
    <cellStyle name="Percent 10 4" xfId="16640"/>
    <cellStyle name="Percent 10 5" xfId="16641"/>
    <cellStyle name="Percent 10 5 2" xfId="16642"/>
    <cellStyle name="Percent 10 5 2 2" xfId="16643"/>
    <cellStyle name="Percent 10 5 3" xfId="16644"/>
    <cellStyle name="Percent 11" xfId="16645"/>
    <cellStyle name="Percent 11 2" xfId="16646"/>
    <cellStyle name="Percent 11 2 2" xfId="16647"/>
    <cellStyle name="Percent 11 2 2 2" xfId="16648"/>
    <cellStyle name="Percent 11 2 3" xfId="16649"/>
    <cellStyle name="Percent 11 3" xfId="16650"/>
    <cellStyle name="Percent 11 3 2" xfId="16651"/>
    <cellStyle name="Percent 11 3 2 2" xfId="16652"/>
    <cellStyle name="Percent 11 3 3" xfId="16653"/>
    <cellStyle name="Percent 11 4" xfId="16654"/>
    <cellStyle name="Percent 11 4 2" xfId="16655"/>
    <cellStyle name="Percent 11 5" xfId="16656"/>
    <cellStyle name="Percent 12" xfId="16657"/>
    <cellStyle name="Percent 12 2" xfId="16658"/>
    <cellStyle name="Percent 12 2 2" xfId="16659"/>
    <cellStyle name="Percent 12 2 2 2" xfId="16660"/>
    <cellStyle name="Percent 12 2 3" xfId="16661"/>
    <cellStyle name="Percent 12 3" xfId="16662"/>
    <cellStyle name="Percent 12 3 2" xfId="16663"/>
    <cellStyle name="Percent 12 3 2 2" xfId="16664"/>
    <cellStyle name="Percent 12 3 3" xfId="16665"/>
    <cellStyle name="Percent 12 4" xfId="16666"/>
    <cellStyle name="Percent 12 4 2" xfId="16667"/>
    <cellStyle name="Percent 12 5" xfId="16668"/>
    <cellStyle name="Percent 13" xfId="16669"/>
    <cellStyle name="Percent 13 2" xfId="16670"/>
    <cellStyle name="Percent 13 3" xfId="16671"/>
    <cellStyle name="Percent 14" xfId="16672"/>
    <cellStyle name="Percent 14 2" xfId="16673"/>
    <cellStyle name="Percent 15" xfId="16674"/>
    <cellStyle name="Percent 15 2" xfId="16675"/>
    <cellStyle name="Percent 16" xfId="16676"/>
    <cellStyle name="Percent 17" xfId="16677"/>
    <cellStyle name="Percent 17 2" xfId="16678"/>
    <cellStyle name="Percent 17 2 2" xfId="16679"/>
    <cellStyle name="Percent 17 2 2 2" xfId="16680"/>
    <cellStyle name="Percent 17 2 3" xfId="16681"/>
    <cellStyle name="Percent 17 3" xfId="16682"/>
    <cellStyle name="Percent 17 3 2" xfId="16683"/>
    <cellStyle name="Percent 17 3 2 2" xfId="16684"/>
    <cellStyle name="Percent 17 3 3" xfId="16685"/>
    <cellStyle name="Percent 17 4" xfId="16686"/>
    <cellStyle name="Percent 17 4 2" xfId="16687"/>
    <cellStyle name="Percent 17 5" xfId="16688"/>
    <cellStyle name="Percent 18" xfId="16689"/>
    <cellStyle name="Percent 18 2" xfId="16690"/>
    <cellStyle name="Percent 18 2 2" xfId="16691"/>
    <cellStyle name="Percent 18 2 2 2" xfId="16692"/>
    <cellStyle name="Percent 18 2 3" xfId="16693"/>
    <cellStyle name="Percent 18 3" xfId="16694"/>
    <cellStyle name="Percent 18 3 2" xfId="16695"/>
    <cellStyle name="Percent 18 3 2 2" xfId="16696"/>
    <cellStyle name="Percent 18 3 3" xfId="16697"/>
    <cellStyle name="Percent 18 4" xfId="16698"/>
    <cellStyle name="Percent 18 4 2" xfId="16699"/>
    <cellStyle name="Percent 18 5" xfId="16700"/>
    <cellStyle name="Percent 19" xfId="18552"/>
    <cellStyle name="Percent 2" xfId="12"/>
    <cellStyle name="Percent 2 10" xfId="18553"/>
    <cellStyle name="Percent 2 11" xfId="18554"/>
    <cellStyle name="Percent 2 12" xfId="18642"/>
    <cellStyle name="Percent 2 2" xfId="16701"/>
    <cellStyle name="Percent 2 2 2" xfId="16702"/>
    <cellStyle name="Percent 2 2 3" xfId="16703"/>
    <cellStyle name="Percent 2 2 4" xfId="16704"/>
    <cellStyle name="Percent 2 3" xfId="16705"/>
    <cellStyle name="Percent 2 3 2" xfId="16706"/>
    <cellStyle name="Percent 2 4" xfId="16707"/>
    <cellStyle name="Percent 2 5" xfId="16708"/>
    <cellStyle name="Percent 2 5 2" xfId="16709"/>
    <cellStyle name="Percent 2 5 3" xfId="16710"/>
    <cellStyle name="Percent 2 5 3 2" xfId="16711"/>
    <cellStyle name="Percent 2 5 3 2 2" xfId="16712"/>
    <cellStyle name="Percent 2 5 3 3" xfId="16713"/>
    <cellStyle name="Percent 2 5 4" xfId="16714"/>
    <cellStyle name="Percent 2 5 4 2" xfId="16715"/>
    <cellStyle name="Percent 2 5 4 2 2" xfId="16716"/>
    <cellStyle name="Percent 2 5 4 3" xfId="16717"/>
    <cellStyle name="Percent 2 5 5" xfId="16718"/>
    <cellStyle name="Percent 2 5 6" xfId="16719"/>
    <cellStyle name="Percent 2 5 6 2" xfId="16720"/>
    <cellStyle name="Percent 2 5 6 2 2" xfId="16721"/>
    <cellStyle name="Percent 2 5 6 3" xfId="16722"/>
    <cellStyle name="Percent 2 6" xfId="16723"/>
    <cellStyle name="Percent 2 6 2" xfId="16724"/>
    <cellStyle name="Percent 2 6 2 2" xfId="16725"/>
    <cellStyle name="Percent 2 6 2 2 2" xfId="16726"/>
    <cellStyle name="Percent 2 6 2 3" xfId="16727"/>
    <cellStyle name="Percent 2 6 3" xfId="16728"/>
    <cellStyle name="Percent 2 6 3 2" xfId="16729"/>
    <cellStyle name="Percent 2 6 3 2 2" xfId="16730"/>
    <cellStyle name="Percent 2 6 3 3" xfId="16731"/>
    <cellStyle name="Percent 2 6 4" xfId="16732"/>
    <cellStyle name="Percent 2 6 4 2" xfId="16733"/>
    <cellStyle name="Percent 2 6 5" xfId="16734"/>
    <cellStyle name="Percent 2 7" xfId="16735"/>
    <cellStyle name="Percent 2 8" xfId="16736"/>
    <cellStyle name="Percent 2 9" xfId="16737"/>
    <cellStyle name="Percent 20" xfId="18555"/>
    <cellStyle name="Percent 21" xfId="18556"/>
    <cellStyle name="Percent 22" xfId="18557"/>
    <cellStyle name="Percent 23" xfId="18558"/>
    <cellStyle name="Percent 24" xfId="18559"/>
    <cellStyle name="Percent 25" xfId="18560"/>
    <cellStyle name="Percent 26" xfId="18646"/>
    <cellStyle name="Percent 3" xfId="16738"/>
    <cellStyle name="Percent 3 10" xfId="16739"/>
    <cellStyle name="Percent 3 11" xfId="16740"/>
    <cellStyle name="Percent 3 11 2" xfId="16741"/>
    <cellStyle name="Percent 3 11 2 2" xfId="16742"/>
    <cellStyle name="Percent 3 11 3" xfId="16743"/>
    <cellStyle name="Percent 3 2" xfId="16744"/>
    <cellStyle name="Percent 3 2 2" xfId="16745"/>
    <cellStyle name="Percent 3 2 2 2" xfId="16746"/>
    <cellStyle name="Percent 3 2 2 2 2" xfId="16747"/>
    <cellStyle name="Percent 3 2 2 2 2 2" xfId="16748"/>
    <cellStyle name="Percent 3 2 2 2 2 2 2" xfId="16749"/>
    <cellStyle name="Percent 3 2 2 2 2 3" xfId="16750"/>
    <cellStyle name="Percent 3 2 2 2 3" xfId="16751"/>
    <cellStyle name="Percent 3 2 2 2 3 2" xfId="16752"/>
    <cellStyle name="Percent 3 2 2 2 3 2 2" xfId="16753"/>
    <cellStyle name="Percent 3 2 2 2 3 3" xfId="16754"/>
    <cellStyle name="Percent 3 2 2 2 4" xfId="16755"/>
    <cellStyle name="Percent 3 2 2 2 4 2" xfId="16756"/>
    <cellStyle name="Percent 3 2 2 2 5" xfId="16757"/>
    <cellStyle name="Percent 3 2 2 3" xfId="16758"/>
    <cellStyle name="Percent 3 2 2 3 2" xfId="16759"/>
    <cellStyle name="Percent 3 2 2 3 2 2" xfId="16760"/>
    <cellStyle name="Percent 3 2 2 3 2 2 2" xfId="16761"/>
    <cellStyle name="Percent 3 2 2 3 2 3" xfId="16762"/>
    <cellStyle name="Percent 3 2 2 3 3" xfId="16763"/>
    <cellStyle name="Percent 3 2 2 3 3 2" xfId="16764"/>
    <cellStyle name="Percent 3 2 2 3 3 2 2" xfId="16765"/>
    <cellStyle name="Percent 3 2 2 3 3 3" xfId="16766"/>
    <cellStyle name="Percent 3 2 2 3 4" xfId="16767"/>
    <cellStyle name="Percent 3 2 2 3 4 2" xfId="16768"/>
    <cellStyle name="Percent 3 2 2 3 5" xfId="16769"/>
    <cellStyle name="Percent 3 2 2 4" xfId="16770"/>
    <cellStyle name="Percent 3 2 2 4 2" xfId="16771"/>
    <cellStyle name="Percent 3 2 2 4 2 2" xfId="16772"/>
    <cellStyle name="Percent 3 2 2 4 2 2 2" xfId="16773"/>
    <cellStyle name="Percent 3 2 2 4 2 3" xfId="16774"/>
    <cellStyle name="Percent 3 2 2 4 3" xfId="16775"/>
    <cellStyle name="Percent 3 2 2 4 3 2" xfId="16776"/>
    <cellStyle name="Percent 3 2 2 4 3 2 2" xfId="16777"/>
    <cellStyle name="Percent 3 2 2 4 3 3" xfId="16778"/>
    <cellStyle name="Percent 3 2 2 4 4" xfId="16779"/>
    <cellStyle name="Percent 3 2 2 4 4 2" xfId="16780"/>
    <cellStyle name="Percent 3 2 2 4 5" xfId="16781"/>
    <cellStyle name="Percent 3 2 2 5" xfId="16782"/>
    <cellStyle name="Percent 3 2 2 5 2" xfId="16783"/>
    <cellStyle name="Percent 3 2 2 5 2 2" xfId="16784"/>
    <cellStyle name="Percent 3 2 2 5 3" xfId="16785"/>
    <cellStyle name="Percent 3 2 2 6" xfId="16786"/>
    <cellStyle name="Percent 3 2 2 6 2" xfId="16787"/>
    <cellStyle name="Percent 3 2 2 6 2 2" xfId="16788"/>
    <cellStyle name="Percent 3 2 2 6 3" xfId="16789"/>
    <cellStyle name="Percent 3 2 2 7" xfId="16790"/>
    <cellStyle name="Percent 3 2 2 8" xfId="16791"/>
    <cellStyle name="Percent 3 2 2 8 2" xfId="16792"/>
    <cellStyle name="Percent 3 2 2 8 2 2" xfId="16793"/>
    <cellStyle name="Percent 3 2 2 8 3" xfId="16794"/>
    <cellStyle name="Percent 3 2 3" xfId="16795"/>
    <cellStyle name="Percent 3 2 3 2" xfId="16796"/>
    <cellStyle name="Percent 3 2 3 2 2" xfId="16797"/>
    <cellStyle name="Percent 3 2 3 2 2 2" xfId="16798"/>
    <cellStyle name="Percent 3 2 3 2 3" xfId="16799"/>
    <cellStyle name="Percent 3 2 3 3" xfId="16800"/>
    <cellStyle name="Percent 3 2 3 3 2" xfId="16801"/>
    <cellStyle name="Percent 3 2 3 3 2 2" xfId="16802"/>
    <cellStyle name="Percent 3 2 3 3 3" xfId="16803"/>
    <cellStyle name="Percent 3 2 3 4" xfId="16804"/>
    <cellStyle name="Percent 3 2 3 4 2" xfId="16805"/>
    <cellStyle name="Percent 3 2 3 5" xfId="16806"/>
    <cellStyle name="Percent 3 2 4" xfId="16807"/>
    <cellStyle name="Percent 3 2 4 2" xfId="16808"/>
    <cellStyle name="Percent 3 2 4 2 2" xfId="16809"/>
    <cellStyle name="Percent 3 2 4 2 2 2" xfId="16810"/>
    <cellStyle name="Percent 3 2 4 2 3" xfId="16811"/>
    <cellStyle name="Percent 3 2 4 3" xfId="16812"/>
    <cellStyle name="Percent 3 2 4 3 2" xfId="16813"/>
    <cellStyle name="Percent 3 2 4 3 2 2" xfId="16814"/>
    <cellStyle name="Percent 3 2 4 3 3" xfId="16815"/>
    <cellStyle name="Percent 3 2 4 4" xfId="16816"/>
    <cellStyle name="Percent 3 2 4 4 2" xfId="16817"/>
    <cellStyle name="Percent 3 2 4 5" xfId="16818"/>
    <cellStyle name="Percent 3 2 5" xfId="16819"/>
    <cellStyle name="Percent 3 2 5 2" xfId="16820"/>
    <cellStyle name="Percent 3 2 5 2 2" xfId="16821"/>
    <cellStyle name="Percent 3 2 5 2 2 2" xfId="16822"/>
    <cellStyle name="Percent 3 2 5 2 3" xfId="16823"/>
    <cellStyle name="Percent 3 2 5 3" xfId="16824"/>
    <cellStyle name="Percent 3 2 5 3 2" xfId="16825"/>
    <cellStyle name="Percent 3 2 5 3 2 2" xfId="16826"/>
    <cellStyle name="Percent 3 2 5 3 3" xfId="16827"/>
    <cellStyle name="Percent 3 2 5 4" xfId="16828"/>
    <cellStyle name="Percent 3 2 5 4 2" xfId="16829"/>
    <cellStyle name="Percent 3 2 5 5" xfId="16830"/>
    <cellStyle name="Percent 3 2 6" xfId="16831"/>
    <cellStyle name="Percent 3 2 7" xfId="16832"/>
    <cellStyle name="Percent 3 2 8" xfId="16833"/>
    <cellStyle name="Percent 3 2 8 2" xfId="16834"/>
    <cellStyle name="Percent 3 2 8 2 2" xfId="16835"/>
    <cellStyle name="Percent 3 2 8 3" xfId="16836"/>
    <cellStyle name="Percent 3 3" xfId="16837"/>
    <cellStyle name="Percent 3 3 2" xfId="16838"/>
    <cellStyle name="Percent 3 3 2 2" xfId="16839"/>
    <cellStyle name="Percent 3 3 2 2 2" xfId="16840"/>
    <cellStyle name="Percent 3 3 2 2 2 2" xfId="16841"/>
    <cellStyle name="Percent 3 3 2 2 2 2 2" xfId="16842"/>
    <cellStyle name="Percent 3 3 2 2 2 3" xfId="16843"/>
    <cellStyle name="Percent 3 3 2 2 3" xfId="16844"/>
    <cellStyle name="Percent 3 3 2 2 3 2" xfId="16845"/>
    <cellStyle name="Percent 3 3 2 2 3 2 2" xfId="16846"/>
    <cellStyle name="Percent 3 3 2 2 3 3" xfId="16847"/>
    <cellStyle name="Percent 3 3 2 2 4" xfId="16848"/>
    <cellStyle name="Percent 3 3 2 2 4 2" xfId="16849"/>
    <cellStyle name="Percent 3 3 2 2 5" xfId="16850"/>
    <cellStyle name="Percent 3 3 2 3" xfId="16851"/>
    <cellStyle name="Percent 3 3 2 3 2" xfId="16852"/>
    <cellStyle name="Percent 3 3 2 3 2 2" xfId="16853"/>
    <cellStyle name="Percent 3 3 2 3 2 2 2" xfId="16854"/>
    <cellStyle name="Percent 3 3 2 3 2 3" xfId="16855"/>
    <cellStyle name="Percent 3 3 2 3 3" xfId="16856"/>
    <cellStyle name="Percent 3 3 2 3 3 2" xfId="16857"/>
    <cellStyle name="Percent 3 3 2 3 3 2 2" xfId="16858"/>
    <cellStyle name="Percent 3 3 2 3 3 3" xfId="16859"/>
    <cellStyle name="Percent 3 3 2 3 4" xfId="16860"/>
    <cellStyle name="Percent 3 3 2 3 4 2" xfId="16861"/>
    <cellStyle name="Percent 3 3 2 3 5" xfId="16862"/>
    <cellStyle name="Percent 3 3 2 4" xfId="16863"/>
    <cellStyle name="Percent 3 3 2 4 2" xfId="16864"/>
    <cellStyle name="Percent 3 3 2 4 2 2" xfId="16865"/>
    <cellStyle name="Percent 3 3 2 4 2 2 2" xfId="16866"/>
    <cellStyle name="Percent 3 3 2 4 2 3" xfId="16867"/>
    <cellStyle name="Percent 3 3 2 4 3" xfId="16868"/>
    <cellStyle name="Percent 3 3 2 4 3 2" xfId="16869"/>
    <cellStyle name="Percent 3 3 2 4 3 2 2" xfId="16870"/>
    <cellStyle name="Percent 3 3 2 4 3 3" xfId="16871"/>
    <cellStyle name="Percent 3 3 2 4 4" xfId="16872"/>
    <cellStyle name="Percent 3 3 2 4 4 2" xfId="16873"/>
    <cellStyle name="Percent 3 3 2 4 5" xfId="16874"/>
    <cellStyle name="Percent 3 3 2 5" xfId="16875"/>
    <cellStyle name="Percent 3 3 2 5 2" xfId="16876"/>
    <cellStyle name="Percent 3 3 2 5 2 2" xfId="16877"/>
    <cellStyle name="Percent 3 3 2 5 3" xfId="16878"/>
    <cellStyle name="Percent 3 3 2 6" xfId="16879"/>
    <cellStyle name="Percent 3 3 2 6 2" xfId="16880"/>
    <cellStyle name="Percent 3 3 2 6 2 2" xfId="16881"/>
    <cellStyle name="Percent 3 3 2 6 3" xfId="16882"/>
    <cellStyle name="Percent 3 3 2 7" xfId="16883"/>
    <cellStyle name="Percent 3 3 2 8" xfId="16884"/>
    <cellStyle name="Percent 3 3 2 8 2" xfId="16885"/>
    <cellStyle name="Percent 3 3 2 8 2 2" xfId="16886"/>
    <cellStyle name="Percent 3 3 2 8 3" xfId="16887"/>
    <cellStyle name="Percent 3 3 3" xfId="16888"/>
    <cellStyle name="Percent 3 3 3 2" xfId="16889"/>
    <cellStyle name="Percent 3 3 3 2 2" xfId="16890"/>
    <cellStyle name="Percent 3 3 3 2 2 2" xfId="16891"/>
    <cellStyle name="Percent 3 3 3 2 3" xfId="16892"/>
    <cellStyle name="Percent 3 3 3 3" xfId="16893"/>
    <cellStyle name="Percent 3 3 3 3 2" xfId="16894"/>
    <cellStyle name="Percent 3 3 3 3 2 2" xfId="16895"/>
    <cellStyle name="Percent 3 3 3 3 3" xfId="16896"/>
    <cellStyle name="Percent 3 3 3 4" xfId="16897"/>
    <cellStyle name="Percent 3 3 3 4 2" xfId="16898"/>
    <cellStyle name="Percent 3 3 3 5" xfId="16899"/>
    <cellStyle name="Percent 3 3 4" xfId="16900"/>
    <cellStyle name="Percent 3 3 4 2" xfId="16901"/>
    <cellStyle name="Percent 3 3 4 2 2" xfId="16902"/>
    <cellStyle name="Percent 3 3 4 2 2 2" xfId="16903"/>
    <cellStyle name="Percent 3 3 4 2 3" xfId="16904"/>
    <cellStyle name="Percent 3 3 4 3" xfId="16905"/>
    <cellStyle name="Percent 3 3 4 3 2" xfId="16906"/>
    <cellStyle name="Percent 3 3 4 3 2 2" xfId="16907"/>
    <cellStyle name="Percent 3 3 4 3 3" xfId="16908"/>
    <cellStyle name="Percent 3 3 4 4" xfId="16909"/>
    <cellStyle name="Percent 3 3 4 4 2" xfId="16910"/>
    <cellStyle name="Percent 3 3 4 5" xfId="16911"/>
    <cellStyle name="Percent 3 3 5" xfId="16912"/>
    <cellStyle name="Percent 3 3 5 2" xfId="16913"/>
    <cellStyle name="Percent 3 3 5 2 2" xfId="16914"/>
    <cellStyle name="Percent 3 3 5 2 2 2" xfId="16915"/>
    <cellStyle name="Percent 3 3 5 2 3" xfId="16916"/>
    <cellStyle name="Percent 3 3 5 3" xfId="16917"/>
    <cellStyle name="Percent 3 3 5 3 2" xfId="16918"/>
    <cellStyle name="Percent 3 3 5 3 2 2" xfId="16919"/>
    <cellStyle name="Percent 3 3 5 3 3" xfId="16920"/>
    <cellStyle name="Percent 3 3 5 4" xfId="16921"/>
    <cellStyle name="Percent 3 3 5 4 2" xfId="16922"/>
    <cellStyle name="Percent 3 3 5 5" xfId="16923"/>
    <cellStyle name="Percent 3 3 6" xfId="16924"/>
    <cellStyle name="Percent 3 3 6 2" xfId="16925"/>
    <cellStyle name="Percent 3 3 6 2 2" xfId="16926"/>
    <cellStyle name="Percent 3 3 6 3" xfId="16927"/>
    <cellStyle name="Percent 3 3 7" xfId="16928"/>
    <cellStyle name="Percent 3 3 7 2" xfId="16929"/>
    <cellStyle name="Percent 3 3 7 2 2" xfId="16930"/>
    <cellStyle name="Percent 3 3 7 3" xfId="16931"/>
    <cellStyle name="Percent 3 3 8" xfId="16932"/>
    <cellStyle name="Percent 3 3 9" xfId="16933"/>
    <cellStyle name="Percent 3 3 9 2" xfId="16934"/>
    <cellStyle name="Percent 3 3 9 2 2" xfId="16935"/>
    <cellStyle name="Percent 3 3 9 3" xfId="16936"/>
    <cellStyle name="Percent 3 4" xfId="16937"/>
    <cellStyle name="Percent 3 4 2" xfId="16938"/>
    <cellStyle name="Percent 3 4 2 2" xfId="16939"/>
    <cellStyle name="Percent 3 4 2 2 2" xfId="16940"/>
    <cellStyle name="Percent 3 4 2 2 2 2" xfId="16941"/>
    <cellStyle name="Percent 3 4 2 2 3" xfId="16942"/>
    <cellStyle name="Percent 3 4 2 3" xfId="16943"/>
    <cellStyle name="Percent 3 4 2 3 2" xfId="16944"/>
    <cellStyle name="Percent 3 4 2 3 2 2" xfId="16945"/>
    <cellStyle name="Percent 3 4 2 3 3" xfId="16946"/>
    <cellStyle name="Percent 3 4 2 4" xfId="16947"/>
    <cellStyle name="Percent 3 4 2 4 2" xfId="16948"/>
    <cellStyle name="Percent 3 4 2 5" xfId="16949"/>
    <cellStyle name="Percent 3 4 3" xfId="16950"/>
    <cellStyle name="Percent 3 4 3 2" xfId="16951"/>
    <cellStyle name="Percent 3 4 3 2 2" xfId="16952"/>
    <cellStyle name="Percent 3 4 3 2 2 2" xfId="16953"/>
    <cellStyle name="Percent 3 4 3 2 3" xfId="16954"/>
    <cellStyle name="Percent 3 4 3 3" xfId="16955"/>
    <cellStyle name="Percent 3 4 3 3 2" xfId="16956"/>
    <cellStyle name="Percent 3 4 3 3 2 2" xfId="16957"/>
    <cellStyle name="Percent 3 4 3 3 3" xfId="16958"/>
    <cellStyle name="Percent 3 4 3 4" xfId="16959"/>
    <cellStyle name="Percent 3 4 3 4 2" xfId="16960"/>
    <cellStyle name="Percent 3 4 3 5" xfId="16961"/>
    <cellStyle name="Percent 3 4 4" xfId="16962"/>
    <cellStyle name="Percent 3 4 4 2" xfId="16963"/>
    <cellStyle name="Percent 3 4 4 2 2" xfId="16964"/>
    <cellStyle name="Percent 3 4 4 2 2 2" xfId="16965"/>
    <cellStyle name="Percent 3 4 4 2 3" xfId="16966"/>
    <cellStyle name="Percent 3 4 4 3" xfId="16967"/>
    <cellStyle name="Percent 3 4 4 3 2" xfId="16968"/>
    <cellStyle name="Percent 3 4 4 3 2 2" xfId="16969"/>
    <cellStyle name="Percent 3 4 4 3 3" xfId="16970"/>
    <cellStyle name="Percent 3 4 4 4" xfId="16971"/>
    <cellStyle name="Percent 3 4 4 4 2" xfId="16972"/>
    <cellStyle name="Percent 3 4 4 5" xfId="16973"/>
    <cellStyle name="Percent 3 4 5" xfId="16974"/>
    <cellStyle name="Percent 3 4 5 2" xfId="16975"/>
    <cellStyle name="Percent 3 4 5 2 2" xfId="16976"/>
    <cellStyle name="Percent 3 4 5 3" xfId="16977"/>
    <cellStyle name="Percent 3 4 6" xfId="16978"/>
    <cellStyle name="Percent 3 4 6 2" xfId="16979"/>
    <cellStyle name="Percent 3 4 6 2 2" xfId="16980"/>
    <cellStyle name="Percent 3 4 6 3" xfId="16981"/>
    <cellStyle name="Percent 3 4 7" xfId="16982"/>
    <cellStyle name="Percent 3 4 8" xfId="16983"/>
    <cellStyle name="Percent 3 4 8 2" xfId="16984"/>
    <cellStyle name="Percent 3 4 8 2 2" xfId="16985"/>
    <cellStyle name="Percent 3 4 8 3" xfId="16986"/>
    <cellStyle name="Percent 3 5" xfId="16987"/>
    <cellStyle name="Percent 3 5 2" xfId="16988"/>
    <cellStyle name="Percent 3 5 3" xfId="16989"/>
    <cellStyle name="Percent 3 5 3 2" xfId="16990"/>
    <cellStyle name="Percent 3 5 3 2 2" xfId="16991"/>
    <cellStyle name="Percent 3 5 3 3" xfId="16992"/>
    <cellStyle name="Percent 3 5 4" xfId="16993"/>
    <cellStyle name="Percent 3 5 4 2" xfId="16994"/>
    <cellStyle name="Percent 3 5 4 2 2" xfId="16995"/>
    <cellStyle name="Percent 3 5 4 3" xfId="16996"/>
    <cellStyle name="Percent 3 5 5" xfId="16997"/>
    <cellStyle name="Percent 3 5 5 2" xfId="16998"/>
    <cellStyle name="Percent 3 5 6" xfId="16999"/>
    <cellStyle name="Percent 3 6" xfId="17000"/>
    <cellStyle name="Percent 3 6 2" xfId="17001"/>
    <cellStyle name="Percent 3 6 2 2" xfId="17002"/>
    <cellStyle name="Percent 3 6 2 2 2" xfId="17003"/>
    <cellStyle name="Percent 3 6 2 3" xfId="17004"/>
    <cellStyle name="Percent 3 6 3" xfId="17005"/>
    <cellStyle name="Percent 3 6 3 2" xfId="17006"/>
    <cellStyle name="Percent 3 6 3 2 2" xfId="17007"/>
    <cellStyle name="Percent 3 6 3 3" xfId="17008"/>
    <cellStyle name="Percent 3 6 4" xfId="17009"/>
    <cellStyle name="Percent 3 6 4 2" xfId="17010"/>
    <cellStyle name="Percent 3 6 5" xfId="17011"/>
    <cellStyle name="Percent 3 7" xfId="17012"/>
    <cellStyle name="Percent 3 8" xfId="17013"/>
    <cellStyle name="Percent 3 8 2" xfId="17014"/>
    <cellStyle name="Percent 3 8 2 2" xfId="17015"/>
    <cellStyle name="Percent 3 8 2 2 2" xfId="17016"/>
    <cellStyle name="Percent 3 8 2 3" xfId="17017"/>
    <cellStyle name="Percent 3 8 3" xfId="17018"/>
    <cellStyle name="Percent 3 8 3 2" xfId="17019"/>
    <cellStyle name="Percent 3 8 3 2 2" xfId="17020"/>
    <cellStyle name="Percent 3 8 3 3" xfId="17021"/>
    <cellStyle name="Percent 3 8 4" xfId="17022"/>
    <cellStyle name="Percent 3 8 4 2" xfId="17023"/>
    <cellStyle name="Percent 3 8 5" xfId="17024"/>
    <cellStyle name="Percent 3 9" xfId="17025"/>
    <cellStyle name="Percent 4" xfId="17026"/>
    <cellStyle name="Percent 4 10" xfId="17027"/>
    <cellStyle name="Percent 4 11" xfId="17028"/>
    <cellStyle name="Percent 4 11 2" xfId="17029"/>
    <cellStyle name="Percent 4 11 2 2" xfId="17030"/>
    <cellStyle name="Percent 4 11 3" xfId="17031"/>
    <cellStyle name="Percent 4 12" xfId="18561"/>
    <cellStyle name="Percent 4 2" xfId="17032"/>
    <cellStyle name="Percent 4 2 10" xfId="18562"/>
    <cellStyle name="Percent 4 2 2" xfId="17033"/>
    <cellStyle name="Percent 4 2 2 2" xfId="17034"/>
    <cellStyle name="Percent 4 2 2 2 2" xfId="17035"/>
    <cellStyle name="Percent 4 2 2 2 2 2" xfId="17036"/>
    <cellStyle name="Percent 4 2 2 2 2 2 2" xfId="17037"/>
    <cellStyle name="Percent 4 2 2 2 2 3" xfId="17038"/>
    <cellStyle name="Percent 4 2 2 2 3" xfId="17039"/>
    <cellStyle name="Percent 4 2 2 2 3 2" xfId="17040"/>
    <cellStyle name="Percent 4 2 2 2 3 2 2" xfId="17041"/>
    <cellStyle name="Percent 4 2 2 2 3 3" xfId="17042"/>
    <cellStyle name="Percent 4 2 2 2 4" xfId="17043"/>
    <cellStyle name="Percent 4 2 2 2 4 2" xfId="17044"/>
    <cellStyle name="Percent 4 2 2 2 5" xfId="17045"/>
    <cellStyle name="Percent 4 2 2 3" xfId="17046"/>
    <cellStyle name="Percent 4 2 2 3 2" xfId="17047"/>
    <cellStyle name="Percent 4 2 2 3 2 2" xfId="17048"/>
    <cellStyle name="Percent 4 2 2 3 2 2 2" xfId="17049"/>
    <cellStyle name="Percent 4 2 2 3 2 3" xfId="17050"/>
    <cellStyle name="Percent 4 2 2 3 3" xfId="17051"/>
    <cellStyle name="Percent 4 2 2 3 3 2" xfId="17052"/>
    <cellStyle name="Percent 4 2 2 3 3 2 2" xfId="17053"/>
    <cellStyle name="Percent 4 2 2 3 3 3" xfId="17054"/>
    <cellStyle name="Percent 4 2 2 3 4" xfId="17055"/>
    <cellStyle name="Percent 4 2 2 3 4 2" xfId="17056"/>
    <cellStyle name="Percent 4 2 2 3 5" xfId="17057"/>
    <cellStyle name="Percent 4 2 2 4" xfId="17058"/>
    <cellStyle name="Percent 4 2 2 4 2" xfId="17059"/>
    <cellStyle name="Percent 4 2 2 4 2 2" xfId="17060"/>
    <cellStyle name="Percent 4 2 2 4 2 2 2" xfId="17061"/>
    <cellStyle name="Percent 4 2 2 4 2 3" xfId="17062"/>
    <cellStyle name="Percent 4 2 2 4 3" xfId="17063"/>
    <cellStyle name="Percent 4 2 2 4 3 2" xfId="17064"/>
    <cellStyle name="Percent 4 2 2 4 3 2 2" xfId="17065"/>
    <cellStyle name="Percent 4 2 2 4 3 3" xfId="17066"/>
    <cellStyle name="Percent 4 2 2 4 4" xfId="17067"/>
    <cellStyle name="Percent 4 2 2 4 4 2" xfId="17068"/>
    <cellStyle name="Percent 4 2 2 4 5" xfId="17069"/>
    <cellStyle name="Percent 4 2 2 5" xfId="17070"/>
    <cellStyle name="Percent 4 2 2 5 2" xfId="17071"/>
    <cellStyle name="Percent 4 2 2 5 2 2" xfId="17072"/>
    <cellStyle name="Percent 4 2 2 5 3" xfId="17073"/>
    <cellStyle name="Percent 4 2 2 6" xfId="17074"/>
    <cellStyle name="Percent 4 2 2 6 2" xfId="17075"/>
    <cellStyle name="Percent 4 2 2 6 2 2" xfId="17076"/>
    <cellStyle name="Percent 4 2 2 6 3" xfId="17077"/>
    <cellStyle name="Percent 4 2 2 7" xfId="17078"/>
    <cellStyle name="Percent 4 2 2 8" xfId="17079"/>
    <cellStyle name="Percent 4 2 2 8 2" xfId="17080"/>
    <cellStyle name="Percent 4 2 2 8 2 2" xfId="17081"/>
    <cellStyle name="Percent 4 2 2 8 3" xfId="17082"/>
    <cellStyle name="Percent 4 2 3" xfId="17083"/>
    <cellStyle name="Percent 4 2 3 2" xfId="17084"/>
    <cellStyle name="Percent 4 2 3 2 2" xfId="17085"/>
    <cellStyle name="Percent 4 2 3 2 2 2" xfId="17086"/>
    <cellStyle name="Percent 4 2 3 2 3" xfId="17087"/>
    <cellStyle name="Percent 4 2 3 3" xfId="17088"/>
    <cellStyle name="Percent 4 2 3 3 2" xfId="17089"/>
    <cellStyle name="Percent 4 2 3 3 2 2" xfId="17090"/>
    <cellStyle name="Percent 4 2 3 3 3" xfId="17091"/>
    <cellStyle name="Percent 4 2 3 4" xfId="17092"/>
    <cellStyle name="Percent 4 2 3 4 2" xfId="17093"/>
    <cellStyle name="Percent 4 2 3 5" xfId="17094"/>
    <cellStyle name="Percent 4 2 4" xfId="17095"/>
    <cellStyle name="Percent 4 2 4 2" xfId="17096"/>
    <cellStyle name="Percent 4 2 4 2 2" xfId="17097"/>
    <cellStyle name="Percent 4 2 4 2 2 2" xfId="17098"/>
    <cellStyle name="Percent 4 2 4 2 3" xfId="17099"/>
    <cellStyle name="Percent 4 2 4 3" xfId="17100"/>
    <cellStyle name="Percent 4 2 4 3 2" xfId="17101"/>
    <cellStyle name="Percent 4 2 4 3 2 2" xfId="17102"/>
    <cellStyle name="Percent 4 2 4 3 3" xfId="17103"/>
    <cellStyle name="Percent 4 2 4 4" xfId="17104"/>
    <cellStyle name="Percent 4 2 4 4 2" xfId="17105"/>
    <cellStyle name="Percent 4 2 4 5" xfId="17106"/>
    <cellStyle name="Percent 4 2 5" xfId="17107"/>
    <cellStyle name="Percent 4 2 5 2" xfId="17108"/>
    <cellStyle name="Percent 4 2 5 2 2" xfId="17109"/>
    <cellStyle name="Percent 4 2 5 2 2 2" xfId="17110"/>
    <cellStyle name="Percent 4 2 5 2 3" xfId="17111"/>
    <cellStyle name="Percent 4 2 5 3" xfId="17112"/>
    <cellStyle name="Percent 4 2 5 3 2" xfId="17113"/>
    <cellStyle name="Percent 4 2 5 3 2 2" xfId="17114"/>
    <cellStyle name="Percent 4 2 5 3 3" xfId="17115"/>
    <cellStyle name="Percent 4 2 5 4" xfId="17116"/>
    <cellStyle name="Percent 4 2 5 4 2" xfId="17117"/>
    <cellStyle name="Percent 4 2 5 5" xfId="17118"/>
    <cellStyle name="Percent 4 2 6" xfId="17119"/>
    <cellStyle name="Percent 4 2 6 2" xfId="17120"/>
    <cellStyle name="Percent 4 2 6 2 2" xfId="17121"/>
    <cellStyle name="Percent 4 2 6 3" xfId="17122"/>
    <cellStyle name="Percent 4 2 7" xfId="17123"/>
    <cellStyle name="Percent 4 2 7 2" xfId="17124"/>
    <cellStyle name="Percent 4 2 7 2 2" xfId="17125"/>
    <cellStyle name="Percent 4 2 7 3" xfId="17126"/>
    <cellStyle name="Percent 4 2 8" xfId="17127"/>
    <cellStyle name="Percent 4 2 9" xfId="17128"/>
    <cellStyle name="Percent 4 2 9 2" xfId="17129"/>
    <cellStyle name="Percent 4 2 9 2 2" xfId="17130"/>
    <cellStyle name="Percent 4 2 9 3" xfId="17131"/>
    <cellStyle name="Percent 4 3" xfId="17132"/>
    <cellStyle name="Percent 4 3 2" xfId="17133"/>
    <cellStyle name="Percent 4 3 2 2" xfId="17134"/>
    <cellStyle name="Percent 4 3 2 2 2" xfId="17135"/>
    <cellStyle name="Percent 4 3 2 2 2 2" xfId="17136"/>
    <cellStyle name="Percent 4 3 2 2 2 2 2" xfId="17137"/>
    <cellStyle name="Percent 4 3 2 2 2 3" xfId="17138"/>
    <cellStyle name="Percent 4 3 2 2 3" xfId="17139"/>
    <cellStyle name="Percent 4 3 2 2 3 2" xfId="17140"/>
    <cellStyle name="Percent 4 3 2 2 3 2 2" xfId="17141"/>
    <cellStyle name="Percent 4 3 2 2 3 3" xfId="17142"/>
    <cellStyle name="Percent 4 3 2 2 4" xfId="17143"/>
    <cellStyle name="Percent 4 3 2 2 4 2" xfId="17144"/>
    <cellStyle name="Percent 4 3 2 2 5" xfId="17145"/>
    <cellStyle name="Percent 4 3 2 3" xfId="17146"/>
    <cellStyle name="Percent 4 3 2 3 2" xfId="17147"/>
    <cellStyle name="Percent 4 3 2 3 2 2" xfId="17148"/>
    <cellStyle name="Percent 4 3 2 3 2 2 2" xfId="17149"/>
    <cellStyle name="Percent 4 3 2 3 2 3" xfId="17150"/>
    <cellStyle name="Percent 4 3 2 3 3" xfId="17151"/>
    <cellStyle name="Percent 4 3 2 3 3 2" xfId="17152"/>
    <cellStyle name="Percent 4 3 2 3 3 2 2" xfId="17153"/>
    <cellStyle name="Percent 4 3 2 3 3 3" xfId="17154"/>
    <cellStyle name="Percent 4 3 2 3 4" xfId="17155"/>
    <cellStyle name="Percent 4 3 2 3 4 2" xfId="17156"/>
    <cellStyle name="Percent 4 3 2 3 5" xfId="17157"/>
    <cellStyle name="Percent 4 3 2 4" xfId="17158"/>
    <cellStyle name="Percent 4 3 2 4 2" xfId="17159"/>
    <cellStyle name="Percent 4 3 2 4 2 2" xfId="17160"/>
    <cellStyle name="Percent 4 3 2 4 2 2 2" xfId="17161"/>
    <cellStyle name="Percent 4 3 2 4 2 3" xfId="17162"/>
    <cellStyle name="Percent 4 3 2 4 3" xfId="17163"/>
    <cellStyle name="Percent 4 3 2 4 3 2" xfId="17164"/>
    <cellStyle name="Percent 4 3 2 4 3 2 2" xfId="17165"/>
    <cellStyle name="Percent 4 3 2 4 3 3" xfId="17166"/>
    <cellStyle name="Percent 4 3 2 4 4" xfId="17167"/>
    <cellStyle name="Percent 4 3 2 4 4 2" xfId="17168"/>
    <cellStyle name="Percent 4 3 2 4 5" xfId="17169"/>
    <cellStyle name="Percent 4 3 2 5" xfId="17170"/>
    <cellStyle name="Percent 4 3 2 5 2" xfId="17171"/>
    <cellStyle name="Percent 4 3 2 5 2 2" xfId="17172"/>
    <cellStyle name="Percent 4 3 2 5 3" xfId="17173"/>
    <cellStyle name="Percent 4 3 2 6" xfId="17174"/>
    <cellStyle name="Percent 4 3 2 6 2" xfId="17175"/>
    <cellStyle name="Percent 4 3 2 6 2 2" xfId="17176"/>
    <cellStyle name="Percent 4 3 2 6 3" xfId="17177"/>
    <cellStyle name="Percent 4 3 2 7" xfId="17178"/>
    <cellStyle name="Percent 4 3 2 8" xfId="17179"/>
    <cellStyle name="Percent 4 3 2 8 2" xfId="17180"/>
    <cellStyle name="Percent 4 3 2 8 2 2" xfId="17181"/>
    <cellStyle name="Percent 4 3 2 8 3" xfId="17182"/>
    <cellStyle name="Percent 4 3 3" xfId="17183"/>
    <cellStyle name="Percent 4 3 3 2" xfId="17184"/>
    <cellStyle name="Percent 4 3 3 2 2" xfId="17185"/>
    <cellStyle name="Percent 4 3 3 2 2 2" xfId="17186"/>
    <cellStyle name="Percent 4 3 3 2 3" xfId="17187"/>
    <cellStyle name="Percent 4 3 3 3" xfId="17188"/>
    <cellStyle name="Percent 4 3 3 3 2" xfId="17189"/>
    <cellStyle name="Percent 4 3 3 3 2 2" xfId="17190"/>
    <cellStyle name="Percent 4 3 3 3 3" xfId="17191"/>
    <cellStyle name="Percent 4 3 3 4" xfId="17192"/>
    <cellStyle name="Percent 4 3 3 4 2" xfId="17193"/>
    <cellStyle name="Percent 4 3 3 5" xfId="17194"/>
    <cellStyle name="Percent 4 3 4" xfId="17195"/>
    <cellStyle name="Percent 4 3 4 2" xfId="17196"/>
    <cellStyle name="Percent 4 3 4 2 2" xfId="17197"/>
    <cellStyle name="Percent 4 3 4 2 2 2" xfId="17198"/>
    <cellStyle name="Percent 4 3 4 2 3" xfId="17199"/>
    <cellStyle name="Percent 4 3 4 3" xfId="17200"/>
    <cellStyle name="Percent 4 3 4 3 2" xfId="17201"/>
    <cellStyle name="Percent 4 3 4 3 2 2" xfId="17202"/>
    <cellStyle name="Percent 4 3 4 3 3" xfId="17203"/>
    <cellStyle name="Percent 4 3 4 4" xfId="17204"/>
    <cellStyle name="Percent 4 3 4 4 2" xfId="17205"/>
    <cellStyle name="Percent 4 3 4 5" xfId="17206"/>
    <cellStyle name="Percent 4 3 5" xfId="17207"/>
    <cellStyle name="Percent 4 3 5 2" xfId="17208"/>
    <cellStyle name="Percent 4 3 5 2 2" xfId="17209"/>
    <cellStyle name="Percent 4 3 5 2 2 2" xfId="17210"/>
    <cellStyle name="Percent 4 3 5 2 3" xfId="17211"/>
    <cellStyle name="Percent 4 3 5 3" xfId="17212"/>
    <cellStyle name="Percent 4 3 5 3 2" xfId="17213"/>
    <cellStyle name="Percent 4 3 5 3 2 2" xfId="17214"/>
    <cellStyle name="Percent 4 3 5 3 3" xfId="17215"/>
    <cellStyle name="Percent 4 3 5 4" xfId="17216"/>
    <cellStyle name="Percent 4 3 5 4 2" xfId="17217"/>
    <cellStyle name="Percent 4 3 5 5" xfId="17218"/>
    <cellStyle name="Percent 4 3 6" xfId="17219"/>
    <cellStyle name="Percent 4 3 6 2" xfId="17220"/>
    <cellStyle name="Percent 4 3 6 2 2" xfId="17221"/>
    <cellStyle name="Percent 4 3 6 3" xfId="17222"/>
    <cellStyle name="Percent 4 3 7" xfId="17223"/>
    <cellStyle name="Percent 4 3 7 2" xfId="17224"/>
    <cellStyle name="Percent 4 3 7 2 2" xfId="17225"/>
    <cellStyle name="Percent 4 3 7 3" xfId="17226"/>
    <cellStyle name="Percent 4 3 8" xfId="17227"/>
    <cellStyle name="Percent 4 3 9" xfId="17228"/>
    <cellStyle name="Percent 4 3 9 2" xfId="17229"/>
    <cellStyle name="Percent 4 3 9 2 2" xfId="17230"/>
    <cellStyle name="Percent 4 3 9 3" xfId="17231"/>
    <cellStyle name="Percent 4 4" xfId="17232"/>
    <cellStyle name="Percent 4 4 2" xfId="17233"/>
    <cellStyle name="Percent 4 4 2 2" xfId="17234"/>
    <cellStyle name="Percent 4 4 2 2 2" xfId="17235"/>
    <cellStyle name="Percent 4 4 2 2 2 2" xfId="17236"/>
    <cellStyle name="Percent 4 4 2 2 3" xfId="17237"/>
    <cellStyle name="Percent 4 4 2 3" xfId="17238"/>
    <cellStyle name="Percent 4 4 2 3 2" xfId="17239"/>
    <cellStyle name="Percent 4 4 2 3 2 2" xfId="17240"/>
    <cellStyle name="Percent 4 4 2 3 3" xfId="17241"/>
    <cellStyle name="Percent 4 4 2 4" xfId="17242"/>
    <cellStyle name="Percent 4 4 2 4 2" xfId="17243"/>
    <cellStyle name="Percent 4 4 2 5" xfId="17244"/>
    <cellStyle name="Percent 4 4 3" xfId="17245"/>
    <cellStyle name="Percent 4 4 3 2" xfId="17246"/>
    <cellStyle name="Percent 4 4 3 2 2" xfId="17247"/>
    <cellStyle name="Percent 4 4 3 2 2 2" xfId="17248"/>
    <cellStyle name="Percent 4 4 3 2 3" xfId="17249"/>
    <cellStyle name="Percent 4 4 3 3" xfId="17250"/>
    <cellStyle name="Percent 4 4 3 3 2" xfId="17251"/>
    <cellStyle name="Percent 4 4 3 3 2 2" xfId="17252"/>
    <cellStyle name="Percent 4 4 3 3 3" xfId="17253"/>
    <cellStyle name="Percent 4 4 3 4" xfId="17254"/>
    <cellStyle name="Percent 4 4 3 4 2" xfId="17255"/>
    <cellStyle name="Percent 4 4 3 5" xfId="17256"/>
    <cellStyle name="Percent 4 4 4" xfId="17257"/>
    <cellStyle name="Percent 4 4 4 2" xfId="17258"/>
    <cellStyle name="Percent 4 4 4 2 2" xfId="17259"/>
    <cellStyle name="Percent 4 4 4 2 2 2" xfId="17260"/>
    <cellStyle name="Percent 4 4 4 2 3" xfId="17261"/>
    <cellStyle name="Percent 4 4 4 3" xfId="17262"/>
    <cellStyle name="Percent 4 4 4 3 2" xfId="17263"/>
    <cellStyle name="Percent 4 4 4 3 2 2" xfId="17264"/>
    <cellStyle name="Percent 4 4 4 3 3" xfId="17265"/>
    <cellStyle name="Percent 4 4 4 4" xfId="17266"/>
    <cellStyle name="Percent 4 4 4 4 2" xfId="17267"/>
    <cellStyle name="Percent 4 4 4 5" xfId="17268"/>
    <cellStyle name="Percent 4 4 5" xfId="17269"/>
    <cellStyle name="Percent 4 4 5 2" xfId="17270"/>
    <cellStyle name="Percent 4 4 5 2 2" xfId="17271"/>
    <cellStyle name="Percent 4 4 5 3" xfId="17272"/>
    <cellStyle name="Percent 4 4 6" xfId="17273"/>
    <cellStyle name="Percent 4 4 6 2" xfId="17274"/>
    <cellStyle name="Percent 4 4 6 2 2" xfId="17275"/>
    <cellStyle name="Percent 4 4 6 3" xfId="17276"/>
    <cellStyle name="Percent 4 4 7" xfId="17277"/>
    <cellStyle name="Percent 4 4 8" xfId="17278"/>
    <cellStyle name="Percent 4 4 8 2" xfId="17279"/>
    <cellStyle name="Percent 4 4 8 2 2" xfId="17280"/>
    <cellStyle name="Percent 4 4 8 3" xfId="17281"/>
    <cellStyle name="Percent 4 5" xfId="17282"/>
    <cellStyle name="Percent 4 5 2" xfId="17283"/>
    <cellStyle name="Percent 4 5 2 2" xfId="17284"/>
    <cellStyle name="Percent 4 5 2 2 2" xfId="17285"/>
    <cellStyle name="Percent 4 5 2 3" xfId="17286"/>
    <cellStyle name="Percent 4 5 3" xfId="17287"/>
    <cellStyle name="Percent 4 5 3 2" xfId="17288"/>
    <cellStyle name="Percent 4 5 3 2 2" xfId="17289"/>
    <cellStyle name="Percent 4 5 3 3" xfId="17290"/>
    <cellStyle name="Percent 4 5 4" xfId="17291"/>
    <cellStyle name="Percent 4 5 4 2" xfId="17292"/>
    <cellStyle name="Percent 4 5 5" xfId="17293"/>
    <cellStyle name="Percent 4 6" xfId="17294"/>
    <cellStyle name="Percent 4 6 2" xfId="17295"/>
    <cellStyle name="Percent 4 6 2 2" xfId="17296"/>
    <cellStyle name="Percent 4 6 2 2 2" xfId="17297"/>
    <cellStyle name="Percent 4 6 2 3" xfId="17298"/>
    <cellStyle name="Percent 4 6 3" xfId="17299"/>
    <cellStyle name="Percent 4 6 3 2" xfId="17300"/>
    <cellStyle name="Percent 4 6 3 2 2" xfId="17301"/>
    <cellStyle name="Percent 4 6 3 3" xfId="17302"/>
    <cellStyle name="Percent 4 6 4" xfId="17303"/>
    <cellStyle name="Percent 4 6 4 2" xfId="17304"/>
    <cellStyle name="Percent 4 6 5" xfId="17305"/>
    <cellStyle name="Percent 4 7" xfId="17306"/>
    <cellStyle name="Percent 4 8" xfId="17307"/>
    <cellStyle name="Percent 4 8 2" xfId="17308"/>
    <cellStyle name="Percent 4 8 2 2" xfId="17309"/>
    <cellStyle name="Percent 4 8 2 2 2" xfId="17310"/>
    <cellStyle name="Percent 4 8 2 3" xfId="17311"/>
    <cellStyle name="Percent 4 8 3" xfId="17312"/>
    <cellStyle name="Percent 4 8 3 2" xfId="17313"/>
    <cellStyle name="Percent 4 8 3 2 2" xfId="17314"/>
    <cellStyle name="Percent 4 8 3 3" xfId="17315"/>
    <cellStyle name="Percent 4 8 4" xfId="17316"/>
    <cellStyle name="Percent 4 8 4 2" xfId="17317"/>
    <cellStyle name="Percent 4 8 5" xfId="17318"/>
    <cellStyle name="Percent 4 9" xfId="17319"/>
    <cellStyle name="Percent 5" xfId="17320"/>
    <cellStyle name="Percent 5 10" xfId="17321"/>
    <cellStyle name="Percent 5 11" xfId="17322"/>
    <cellStyle name="Percent 5 11 2" xfId="17323"/>
    <cellStyle name="Percent 5 11 2 2" xfId="17324"/>
    <cellStyle name="Percent 5 11 3" xfId="17325"/>
    <cellStyle name="Percent 5 12" xfId="18563"/>
    <cellStyle name="Percent 5 2" xfId="17326"/>
    <cellStyle name="Percent 5 2 2" xfId="17327"/>
    <cellStyle name="Percent 5 2 2 2" xfId="17328"/>
    <cellStyle name="Percent 5 2 2 2 2" xfId="17329"/>
    <cellStyle name="Percent 5 2 2 2 2 2" xfId="17330"/>
    <cellStyle name="Percent 5 2 2 2 2 2 2" xfId="17331"/>
    <cellStyle name="Percent 5 2 2 2 2 3" xfId="17332"/>
    <cellStyle name="Percent 5 2 2 2 3" xfId="17333"/>
    <cellStyle name="Percent 5 2 2 2 3 2" xfId="17334"/>
    <cellStyle name="Percent 5 2 2 2 3 2 2" xfId="17335"/>
    <cellStyle name="Percent 5 2 2 2 3 3" xfId="17336"/>
    <cellStyle name="Percent 5 2 2 2 4" xfId="17337"/>
    <cellStyle name="Percent 5 2 2 2 4 2" xfId="17338"/>
    <cellStyle name="Percent 5 2 2 2 5" xfId="17339"/>
    <cellStyle name="Percent 5 2 2 3" xfId="17340"/>
    <cellStyle name="Percent 5 2 2 3 2" xfId="17341"/>
    <cellStyle name="Percent 5 2 2 3 2 2" xfId="17342"/>
    <cellStyle name="Percent 5 2 2 3 2 2 2" xfId="17343"/>
    <cellStyle name="Percent 5 2 2 3 2 3" xfId="17344"/>
    <cellStyle name="Percent 5 2 2 3 3" xfId="17345"/>
    <cellStyle name="Percent 5 2 2 3 3 2" xfId="17346"/>
    <cellStyle name="Percent 5 2 2 3 3 2 2" xfId="17347"/>
    <cellStyle name="Percent 5 2 2 3 3 3" xfId="17348"/>
    <cellStyle name="Percent 5 2 2 3 4" xfId="17349"/>
    <cellStyle name="Percent 5 2 2 3 4 2" xfId="17350"/>
    <cellStyle name="Percent 5 2 2 3 5" xfId="17351"/>
    <cellStyle name="Percent 5 2 2 4" xfId="17352"/>
    <cellStyle name="Percent 5 2 2 4 2" xfId="17353"/>
    <cellStyle name="Percent 5 2 2 4 2 2" xfId="17354"/>
    <cellStyle name="Percent 5 2 2 4 2 2 2" xfId="17355"/>
    <cellStyle name="Percent 5 2 2 4 2 3" xfId="17356"/>
    <cellStyle name="Percent 5 2 2 4 3" xfId="17357"/>
    <cellStyle name="Percent 5 2 2 4 3 2" xfId="17358"/>
    <cellStyle name="Percent 5 2 2 4 3 2 2" xfId="17359"/>
    <cellStyle name="Percent 5 2 2 4 3 3" xfId="17360"/>
    <cellStyle name="Percent 5 2 2 4 4" xfId="17361"/>
    <cellStyle name="Percent 5 2 2 4 4 2" xfId="17362"/>
    <cellStyle name="Percent 5 2 2 4 5" xfId="17363"/>
    <cellStyle name="Percent 5 2 2 5" xfId="17364"/>
    <cellStyle name="Percent 5 2 2 5 2" xfId="17365"/>
    <cellStyle name="Percent 5 2 2 5 2 2" xfId="17366"/>
    <cellStyle name="Percent 5 2 2 5 3" xfId="17367"/>
    <cellStyle name="Percent 5 2 2 6" xfId="17368"/>
    <cellStyle name="Percent 5 2 2 6 2" xfId="17369"/>
    <cellStyle name="Percent 5 2 2 6 2 2" xfId="17370"/>
    <cellStyle name="Percent 5 2 2 6 3" xfId="17371"/>
    <cellStyle name="Percent 5 2 2 7" xfId="17372"/>
    <cellStyle name="Percent 5 2 2 8" xfId="17373"/>
    <cellStyle name="Percent 5 2 2 8 2" xfId="17374"/>
    <cellStyle name="Percent 5 2 2 8 2 2" xfId="17375"/>
    <cellStyle name="Percent 5 2 2 8 3" xfId="17376"/>
    <cellStyle name="Percent 5 2 3" xfId="17377"/>
    <cellStyle name="Percent 5 2 3 2" xfId="17378"/>
    <cellStyle name="Percent 5 2 3 2 2" xfId="17379"/>
    <cellStyle name="Percent 5 2 3 2 2 2" xfId="17380"/>
    <cellStyle name="Percent 5 2 3 2 3" xfId="17381"/>
    <cellStyle name="Percent 5 2 3 3" xfId="17382"/>
    <cellStyle name="Percent 5 2 3 3 2" xfId="17383"/>
    <cellStyle name="Percent 5 2 3 3 2 2" xfId="17384"/>
    <cellStyle name="Percent 5 2 3 3 3" xfId="17385"/>
    <cellStyle name="Percent 5 2 3 4" xfId="17386"/>
    <cellStyle name="Percent 5 2 3 4 2" xfId="17387"/>
    <cellStyle name="Percent 5 2 3 5" xfId="17388"/>
    <cellStyle name="Percent 5 2 4" xfId="17389"/>
    <cellStyle name="Percent 5 2 4 2" xfId="17390"/>
    <cellStyle name="Percent 5 2 4 2 2" xfId="17391"/>
    <cellStyle name="Percent 5 2 4 2 2 2" xfId="17392"/>
    <cellStyle name="Percent 5 2 4 2 3" xfId="17393"/>
    <cellStyle name="Percent 5 2 4 3" xfId="17394"/>
    <cellStyle name="Percent 5 2 4 3 2" xfId="17395"/>
    <cellStyle name="Percent 5 2 4 3 2 2" xfId="17396"/>
    <cellStyle name="Percent 5 2 4 3 3" xfId="17397"/>
    <cellStyle name="Percent 5 2 4 4" xfId="17398"/>
    <cellStyle name="Percent 5 2 4 4 2" xfId="17399"/>
    <cellStyle name="Percent 5 2 4 5" xfId="17400"/>
    <cellStyle name="Percent 5 2 5" xfId="17401"/>
    <cellStyle name="Percent 5 2 5 2" xfId="17402"/>
    <cellStyle name="Percent 5 2 5 2 2" xfId="17403"/>
    <cellStyle name="Percent 5 2 5 2 2 2" xfId="17404"/>
    <cellStyle name="Percent 5 2 5 2 3" xfId="17405"/>
    <cellStyle name="Percent 5 2 5 3" xfId="17406"/>
    <cellStyle name="Percent 5 2 5 3 2" xfId="17407"/>
    <cellStyle name="Percent 5 2 5 3 2 2" xfId="17408"/>
    <cellStyle name="Percent 5 2 5 3 3" xfId="17409"/>
    <cellStyle name="Percent 5 2 5 4" xfId="17410"/>
    <cellStyle name="Percent 5 2 5 4 2" xfId="17411"/>
    <cellStyle name="Percent 5 2 5 5" xfId="17412"/>
    <cellStyle name="Percent 5 2 6" xfId="17413"/>
    <cellStyle name="Percent 5 2 6 2" xfId="17414"/>
    <cellStyle name="Percent 5 2 6 2 2" xfId="17415"/>
    <cellStyle name="Percent 5 2 6 3" xfId="17416"/>
    <cellStyle name="Percent 5 2 7" xfId="17417"/>
    <cellStyle name="Percent 5 2 7 2" xfId="17418"/>
    <cellStyle name="Percent 5 2 7 2 2" xfId="17419"/>
    <cellStyle name="Percent 5 2 7 3" xfId="17420"/>
    <cellStyle name="Percent 5 2 8" xfId="17421"/>
    <cellStyle name="Percent 5 2 9" xfId="17422"/>
    <cellStyle name="Percent 5 2 9 2" xfId="17423"/>
    <cellStyle name="Percent 5 2 9 2 2" xfId="17424"/>
    <cellStyle name="Percent 5 2 9 3" xfId="17425"/>
    <cellStyle name="Percent 5 3" xfId="17426"/>
    <cellStyle name="Percent 5 3 2" xfId="17427"/>
    <cellStyle name="Percent 5 3 2 2" xfId="17428"/>
    <cellStyle name="Percent 5 3 2 2 2" xfId="17429"/>
    <cellStyle name="Percent 5 3 2 2 2 2" xfId="17430"/>
    <cellStyle name="Percent 5 3 2 2 2 2 2" xfId="17431"/>
    <cellStyle name="Percent 5 3 2 2 2 3" xfId="17432"/>
    <cellStyle name="Percent 5 3 2 2 3" xfId="17433"/>
    <cellStyle name="Percent 5 3 2 2 3 2" xfId="17434"/>
    <cellStyle name="Percent 5 3 2 2 3 2 2" xfId="17435"/>
    <cellStyle name="Percent 5 3 2 2 3 3" xfId="17436"/>
    <cellStyle name="Percent 5 3 2 2 4" xfId="17437"/>
    <cellStyle name="Percent 5 3 2 2 4 2" xfId="17438"/>
    <cellStyle name="Percent 5 3 2 2 5" xfId="17439"/>
    <cellStyle name="Percent 5 3 2 3" xfId="17440"/>
    <cellStyle name="Percent 5 3 2 3 2" xfId="17441"/>
    <cellStyle name="Percent 5 3 2 3 2 2" xfId="17442"/>
    <cellStyle name="Percent 5 3 2 3 2 2 2" xfId="17443"/>
    <cellStyle name="Percent 5 3 2 3 2 3" xfId="17444"/>
    <cellStyle name="Percent 5 3 2 3 3" xfId="17445"/>
    <cellStyle name="Percent 5 3 2 3 3 2" xfId="17446"/>
    <cellStyle name="Percent 5 3 2 3 3 2 2" xfId="17447"/>
    <cellStyle name="Percent 5 3 2 3 3 3" xfId="17448"/>
    <cellStyle name="Percent 5 3 2 3 4" xfId="17449"/>
    <cellStyle name="Percent 5 3 2 3 4 2" xfId="17450"/>
    <cellStyle name="Percent 5 3 2 3 5" xfId="17451"/>
    <cellStyle name="Percent 5 3 2 4" xfId="17452"/>
    <cellStyle name="Percent 5 3 2 4 2" xfId="17453"/>
    <cellStyle name="Percent 5 3 2 4 2 2" xfId="17454"/>
    <cellStyle name="Percent 5 3 2 4 2 2 2" xfId="17455"/>
    <cellStyle name="Percent 5 3 2 4 2 3" xfId="17456"/>
    <cellStyle name="Percent 5 3 2 4 3" xfId="17457"/>
    <cellStyle name="Percent 5 3 2 4 3 2" xfId="17458"/>
    <cellStyle name="Percent 5 3 2 4 3 2 2" xfId="17459"/>
    <cellStyle name="Percent 5 3 2 4 3 3" xfId="17460"/>
    <cellStyle name="Percent 5 3 2 4 4" xfId="17461"/>
    <cellStyle name="Percent 5 3 2 4 4 2" xfId="17462"/>
    <cellStyle name="Percent 5 3 2 4 5" xfId="17463"/>
    <cellStyle name="Percent 5 3 2 5" xfId="17464"/>
    <cellStyle name="Percent 5 3 2 5 2" xfId="17465"/>
    <cellStyle name="Percent 5 3 2 5 2 2" xfId="17466"/>
    <cellStyle name="Percent 5 3 2 5 3" xfId="17467"/>
    <cellStyle name="Percent 5 3 2 6" xfId="17468"/>
    <cellStyle name="Percent 5 3 2 6 2" xfId="17469"/>
    <cellStyle name="Percent 5 3 2 6 2 2" xfId="17470"/>
    <cellStyle name="Percent 5 3 2 6 3" xfId="17471"/>
    <cellStyle name="Percent 5 3 2 7" xfId="17472"/>
    <cellStyle name="Percent 5 3 2 8" xfId="17473"/>
    <cellStyle name="Percent 5 3 2 8 2" xfId="17474"/>
    <cellStyle name="Percent 5 3 2 8 2 2" xfId="17475"/>
    <cellStyle name="Percent 5 3 2 8 3" xfId="17476"/>
    <cellStyle name="Percent 5 3 3" xfId="17477"/>
    <cellStyle name="Percent 5 3 3 2" xfId="17478"/>
    <cellStyle name="Percent 5 3 3 2 2" xfId="17479"/>
    <cellStyle name="Percent 5 3 3 2 2 2" xfId="17480"/>
    <cellStyle name="Percent 5 3 3 2 3" xfId="17481"/>
    <cellStyle name="Percent 5 3 3 3" xfId="17482"/>
    <cellStyle name="Percent 5 3 3 3 2" xfId="17483"/>
    <cellStyle name="Percent 5 3 3 3 2 2" xfId="17484"/>
    <cellStyle name="Percent 5 3 3 3 3" xfId="17485"/>
    <cellStyle name="Percent 5 3 3 4" xfId="17486"/>
    <cellStyle name="Percent 5 3 3 4 2" xfId="17487"/>
    <cellStyle name="Percent 5 3 3 5" xfId="17488"/>
    <cellStyle name="Percent 5 3 4" xfId="17489"/>
    <cellStyle name="Percent 5 3 4 2" xfId="17490"/>
    <cellStyle name="Percent 5 3 4 2 2" xfId="17491"/>
    <cellStyle name="Percent 5 3 4 2 2 2" xfId="17492"/>
    <cellStyle name="Percent 5 3 4 2 3" xfId="17493"/>
    <cellStyle name="Percent 5 3 4 3" xfId="17494"/>
    <cellStyle name="Percent 5 3 4 3 2" xfId="17495"/>
    <cellStyle name="Percent 5 3 4 3 2 2" xfId="17496"/>
    <cellStyle name="Percent 5 3 4 3 3" xfId="17497"/>
    <cellStyle name="Percent 5 3 4 4" xfId="17498"/>
    <cellStyle name="Percent 5 3 4 4 2" xfId="17499"/>
    <cellStyle name="Percent 5 3 4 5" xfId="17500"/>
    <cellStyle name="Percent 5 3 5" xfId="17501"/>
    <cellStyle name="Percent 5 3 5 2" xfId="17502"/>
    <cellStyle name="Percent 5 3 5 2 2" xfId="17503"/>
    <cellStyle name="Percent 5 3 5 2 2 2" xfId="17504"/>
    <cellStyle name="Percent 5 3 5 2 3" xfId="17505"/>
    <cellStyle name="Percent 5 3 5 3" xfId="17506"/>
    <cellStyle name="Percent 5 3 5 3 2" xfId="17507"/>
    <cellStyle name="Percent 5 3 5 3 2 2" xfId="17508"/>
    <cellStyle name="Percent 5 3 5 3 3" xfId="17509"/>
    <cellStyle name="Percent 5 3 5 4" xfId="17510"/>
    <cellStyle name="Percent 5 3 5 4 2" xfId="17511"/>
    <cellStyle name="Percent 5 3 5 5" xfId="17512"/>
    <cellStyle name="Percent 5 3 6" xfId="17513"/>
    <cellStyle name="Percent 5 3 6 2" xfId="17514"/>
    <cellStyle name="Percent 5 3 6 2 2" xfId="17515"/>
    <cellStyle name="Percent 5 3 6 3" xfId="17516"/>
    <cellStyle name="Percent 5 3 7" xfId="17517"/>
    <cellStyle name="Percent 5 3 7 2" xfId="17518"/>
    <cellStyle name="Percent 5 3 7 2 2" xfId="17519"/>
    <cellStyle name="Percent 5 3 7 3" xfId="17520"/>
    <cellStyle name="Percent 5 3 8" xfId="17521"/>
    <cellStyle name="Percent 5 3 9" xfId="17522"/>
    <cellStyle name="Percent 5 3 9 2" xfId="17523"/>
    <cellStyle name="Percent 5 3 9 2 2" xfId="17524"/>
    <cellStyle name="Percent 5 3 9 3" xfId="17525"/>
    <cellStyle name="Percent 5 4" xfId="17526"/>
    <cellStyle name="Percent 5 4 2" xfId="17527"/>
    <cellStyle name="Percent 5 4 2 2" xfId="17528"/>
    <cellStyle name="Percent 5 4 2 2 2" xfId="17529"/>
    <cellStyle name="Percent 5 4 2 2 2 2" xfId="17530"/>
    <cellStyle name="Percent 5 4 2 2 3" xfId="17531"/>
    <cellStyle name="Percent 5 4 2 3" xfId="17532"/>
    <cellStyle name="Percent 5 4 2 3 2" xfId="17533"/>
    <cellStyle name="Percent 5 4 2 3 2 2" xfId="17534"/>
    <cellStyle name="Percent 5 4 2 3 3" xfId="17535"/>
    <cellStyle name="Percent 5 4 2 4" xfId="17536"/>
    <cellStyle name="Percent 5 4 2 4 2" xfId="17537"/>
    <cellStyle name="Percent 5 4 2 5" xfId="17538"/>
    <cellStyle name="Percent 5 4 3" xfId="17539"/>
    <cellStyle name="Percent 5 4 3 2" xfId="17540"/>
    <cellStyle name="Percent 5 4 3 2 2" xfId="17541"/>
    <cellStyle name="Percent 5 4 3 2 2 2" xfId="17542"/>
    <cellStyle name="Percent 5 4 3 2 3" xfId="17543"/>
    <cellStyle name="Percent 5 4 3 3" xfId="17544"/>
    <cellStyle name="Percent 5 4 3 3 2" xfId="17545"/>
    <cellStyle name="Percent 5 4 3 3 2 2" xfId="17546"/>
    <cellStyle name="Percent 5 4 3 3 3" xfId="17547"/>
    <cellStyle name="Percent 5 4 3 4" xfId="17548"/>
    <cellStyle name="Percent 5 4 3 4 2" xfId="17549"/>
    <cellStyle name="Percent 5 4 3 5" xfId="17550"/>
    <cellStyle name="Percent 5 4 4" xfId="17551"/>
    <cellStyle name="Percent 5 4 4 2" xfId="17552"/>
    <cellStyle name="Percent 5 4 4 2 2" xfId="17553"/>
    <cellStyle name="Percent 5 4 4 2 2 2" xfId="17554"/>
    <cellStyle name="Percent 5 4 4 2 3" xfId="17555"/>
    <cellStyle name="Percent 5 4 4 3" xfId="17556"/>
    <cellStyle name="Percent 5 4 4 3 2" xfId="17557"/>
    <cellStyle name="Percent 5 4 4 3 2 2" xfId="17558"/>
    <cellStyle name="Percent 5 4 4 3 3" xfId="17559"/>
    <cellStyle name="Percent 5 4 4 4" xfId="17560"/>
    <cellStyle name="Percent 5 4 4 4 2" xfId="17561"/>
    <cellStyle name="Percent 5 4 4 5" xfId="17562"/>
    <cellStyle name="Percent 5 4 5" xfId="17563"/>
    <cellStyle name="Percent 5 4 5 2" xfId="17564"/>
    <cellStyle name="Percent 5 4 5 2 2" xfId="17565"/>
    <cellStyle name="Percent 5 4 5 3" xfId="17566"/>
    <cellStyle name="Percent 5 4 6" xfId="17567"/>
    <cellStyle name="Percent 5 4 6 2" xfId="17568"/>
    <cellStyle name="Percent 5 4 6 2 2" xfId="17569"/>
    <cellStyle name="Percent 5 4 6 3" xfId="17570"/>
    <cellStyle name="Percent 5 4 7" xfId="17571"/>
    <cellStyle name="Percent 5 4 8" xfId="17572"/>
    <cellStyle name="Percent 5 4 8 2" xfId="17573"/>
    <cellStyle name="Percent 5 4 8 2 2" xfId="17574"/>
    <cellStyle name="Percent 5 4 8 3" xfId="17575"/>
    <cellStyle name="Percent 5 5" xfId="17576"/>
    <cellStyle name="Percent 5 5 2" xfId="17577"/>
    <cellStyle name="Percent 5 5 2 2" xfId="17578"/>
    <cellStyle name="Percent 5 5 2 2 2" xfId="17579"/>
    <cellStyle name="Percent 5 5 2 3" xfId="17580"/>
    <cellStyle name="Percent 5 5 3" xfId="17581"/>
    <cellStyle name="Percent 5 5 3 2" xfId="17582"/>
    <cellStyle name="Percent 5 5 3 2 2" xfId="17583"/>
    <cellStyle name="Percent 5 5 3 3" xfId="17584"/>
    <cellStyle name="Percent 5 5 4" xfId="17585"/>
    <cellStyle name="Percent 5 5 4 2" xfId="17586"/>
    <cellStyle name="Percent 5 5 5" xfId="17587"/>
    <cellStyle name="Percent 5 6" xfId="17588"/>
    <cellStyle name="Percent 5 6 2" xfId="17589"/>
    <cellStyle name="Percent 5 6 2 2" xfId="17590"/>
    <cellStyle name="Percent 5 6 2 2 2" xfId="17591"/>
    <cellStyle name="Percent 5 6 2 3" xfId="17592"/>
    <cellStyle name="Percent 5 6 3" xfId="17593"/>
    <cellStyle name="Percent 5 6 3 2" xfId="17594"/>
    <cellStyle name="Percent 5 6 3 2 2" xfId="17595"/>
    <cellStyle name="Percent 5 6 3 3" xfId="17596"/>
    <cellStyle name="Percent 5 6 4" xfId="17597"/>
    <cellStyle name="Percent 5 6 4 2" xfId="17598"/>
    <cellStyle name="Percent 5 6 5" xfId="17599"/>
    <cellStyle name="Percent 5 7" xfId="17600"/>
    <cellStyle name="Percent 5 7 2" xfId="17601"/>
    <cellStyle name="Percent 5 7 2 2" xfId="17602"/>
    <cellStyle name="Percent 5 7 2 2 2" xfId="17603"/>
    <cellStyle name="Percent 5 7 2 3" xfId="17604"/>
    <cellStyle name="Percent 5 7 3" xfId="17605"/>
    <cellStyle name="Percent 5 7 3 2" xfId="17606"/>
    <cellStyle name="Percent 5 7 3 2 2" xfId="17607"/>
    <cellStyle name="Percent 5 7 3 3" xfId="17608"/>
    <cellStyle name="Percent 5 7 4" xfId="17609"/>
    <cellStyle name="Percent 5 7 4 2" xfId="17610"/>
    <cellStyle name="Percent 5 7 5" xfId="17611"/>
    <cellStyle name="Percent 5 8" xfId="17612"/>
    <cellStyle name="Percent 5 8 2" xfId="17613"/>
    <cellStyle name="Percent 5 8 2 2" xfId="17614"/>
    <cellStyle name="Percent 5 8 3" xfId="17615"/>
    <cellStyle name="Percent 5 9" xfId="17616"/>
    <cellStyle name="Percent 5 9 2" xfId="17617"/>
    <cellStyle name="Percent 5 9 2 2" xfId="17618"/>
    <cellStyle name="Percent 5 9 3" xfId="17619"/>
    <cellStyle name="Percent 6" xfId="17620"/>
    <cellStyle name="Percent 6 2" xfId="18564"/>
    <cellStyle name="Percent 7" xfId="17621"/>
    <cellStyle name="Percent 8" xfId="17622"/>
    <cellStyle name="Percent 8 2" xfId="17623"/>
    <cellStyle name="Percent 8 2 2" xfId="17624"/>
    <cellStyle name="Percent 8 2 2 2" xfId="17625"/>
    <cellStyle name="Percent 8 2 2 2 2" xfId="17626"/>
    <cellStyle name="Percent 8 2 2 2 2 2" xfId="17627"/>
    <cellStyle name="Percent 8 2 2 2 3" xfId="17628"/>
    <cellStyle name="Percent 8 2 2 3" xfId="17629"/>
    <cellStyle name="Percent 8 2 2 3 2" xfId="17630"/>
    <cellStyle name="Percent 8 2 2 3 2 2" xfId="17631"/>
    <cellStyle name="Percent 8 2 2 3 3" xfId="17632"/>
    <cellStyle name="Percent 8 2 2 4" xfId="17633"/>
    <cellStyle name="Percent 8 2 2 4 2" xfId="17634"/>
    <cellStyle name="Percent 8 2 2 5" xfId="17635"/>
    <cellStyle name="Percent 8 2 3" xfId="17636"/>
    <cellStyle name="Percent 8 2 3 2" xfId="17637"/>
    <cellStyle name="Percent 8 2 3 2 2" xfId="17638"/>
    <cellStyle name="Percent 8 2 3 2 2 2" xfId="17639"/>
    <cellStyle name="Percent 8 2 3 2 3" xfId="17640"/>
    <cellStyle name="Percent 8 2 3 3" xfId="17641"/>
    <cellStyle name="Percent 8 2 3 3 2" xfId="17642"/>
    <cellStyle name="Percent 8 2 3 3 2 2" xfId="17643"/>
    <cellStyle name="Percent 8 2 3 3 3" xfId="17644"/>
    <cellStyle name="Percent 8 2 3 4" xfId="17645"/>
    <cellStyle name="Percent 8 2 3 4 2" xfId="17646"/>
    <cellStyle name="Percent 8 2 3 5" xfId="17647"/>
    <cellStyle name="Percent 8 2 4" xfId="17648"/>
    <cellStyle name="Percent 8 2 4 2" xfId="17649"/>
    <cellStyle name="Percent 8 2 4 2 2" xfId="17650"/>
    <cellStyle name="Percent 8 2 4 2 2 2" xfId="17651"/>
    <cellStyle name="Percent 8 2 4 2 3" xfId="17652"/>
    <cellStyle name="Percent 8 2 4 3" xfId="17653"/>
    <cellStyle name="Percent 8 2 4 3 2" xfId="17654"/>
    <cellStyle name="Percent 8 2 4 3 2 2" xfId="17655"/>
    <cellStyle name="Percent 8 2 4 3 3" xfId="17656"/>
    <cellStyle name="Percent 8 2 4 4" xfId="17657"/>
    <cellStyle name="Percent 8 2 4 4 2" xfId="17658"/>
    <cellStyle name="Percent 8 2 4 5" xfId="17659"/>
    <cellStyle name="Percent 8 2 5" xfId="17660"/>
    <cellStyle name="Percent 8 2 6" xfId="17661"/>
    <cellStyle name="Percent 8 2 7" xfId="17662"/>
    <cellStyle name="Percent 8 2 7 2" xfId="17663"/>
    <cellStyle name="Percent 8 2 7 2 2" xfId="17664"/>
    <cellStyle name="Percent 8 2 7 3" xfId="17665"/>
    <cellStyle name="Percent 8 3" xfId="17666"/>
    <cellStyle name="Percent 8 3 2" xfId="17667"/>
    <cellStyle name="Percent 8 3 2 2" xfId="17668"/>
    <cellStyle name="Percent 8 3 2 2 2" xfId="17669"/>
    <cellStyle name="Percent 8 3 2 3" xfId="17670"/>
    <cellStyle name="Percent 8 3 3" xfId="17671"/>
    <cellStyle name="Percent 8 3 3 2" xfId="17672"/>
    <cellStyle name="Percent 8 3 3 2 2" xfId="17673"/>
    <cellStyle name="Percent 8 3 3 3" xfId="17674"/>
    <cellStyle name="Percent 8 3 4" xfId="17675"/>
    <cellStyle name="Percent 8 3 4 2" xfId="17676"/>
    <cellStyle name="Percent 8 3 5" xfId="17677"/>
    <cellStyle name="Percent 8 4" xfId="17678"/>
    <cellStyle name="Percent 8 4 2" xfId="17679"/>
    <cellStyle name="Percent 8 4 2 2" xfId="17680"/>
    <cellStyle name="Percent 8 4 2 2 2" xfId="17681"/>
    <cellStyle name="Percent 8 4 2 3" xfId="17682"/>
    <cellStyle name="Percent 8 4 3" xfId="17683"/>
    <cellStyle name="Percent 8 4 3 2" xfId="17684"/>
    <cellStyle name="Percent 8 4 3 2 2" xfId="17685"/>
    <cellStyle name="Percent 8 4 3 3" xfId="17686"/>
    <cellStyle name="Percent 8 4 4" xfId="17687"/>
    <cellStyle name="Percent 8 4 4 2" xfId="17688"/>
    <cellStyle name="Percent 8 4 5" xfId="17689"/>
    <cellStyle name="Percent 8 5" xfId="17690"/>
    <cellStyle name="Percent 8 5 2" xfId="17691"/>
    <cellStyle name="Percent 8 5 2 2" xfId="17692"/>
    <cellStyle name="Percent 8 5 2 2 2" xfId="17693"/>
    <cellStyle name="Percent 8 5 2 3" xfId="17694"/>
    <cellStyle name="Percent 8 5 3" xfId="17695"/>
    <cellStyle name="Percent 8 5 3 2" xfId="17696"/>
    <cellStyle name="Percent 8 5 3 2 2" xfId="17697"/>
    <cellStyle name="Percent 8 5 3 3" xfId="17698"/>
    <cellStyle name="Percent 8 5 4" xfId="17699"/>
    <cellStyle name="Percent 8 5 4 2" xfId="17700"/>
    <cellStyle name="Percent 8 5 5" xfId="17701"/>
    <cellStyle name="Percent 8 6" xfId="17702"/>
    <cellStyle name="Percent 8 6 2" xfId="17703"/>
    <cellStyle name="Percent 8 6 2 2" xfId="17704"/>
    <cellStyle name="Percent 8 6 3" xfId="17705"/>
    <cellStyle name="Percent 8 7" xfId="17706"/>
    <cellStyle name="Percent 8 7 2" xfId="17707"/>
    <cellStyle name="Percent 8 7 2 2" xfId="17708"/>
    <cellStyle name="Percent 8 7 3" xfId="17709"/>
    <cellStyle name="Percent 8 8" xfId="17710"/>
    <cellStyle name="Percent 8 9" xfId="17711"/>
    <cellStyle name="Percent 8 9 2" xfId="17712"/>
    <cellStyle name="Percent 8 9 2 2" xfId="17713"/>
    <cellStyle name="Percent 8 9 3" xfId="17714"/>
    <cellStyle name="Percent 9" xfId="17715"/>
    <cellStyle name="Percent 9 2" xfId="17716"/>
    <cellStyle name="Percent 9 2 2" xfId="17717"/>
    <cellStyle name="Percent 9 2 2 2" xfId="17718"/>
    <cellStyle name="Percent 9 2 2 2 2" xfId="17719"/>
    <cellStyle name="Percent 9 2 2 2 2 2" xfId="17720"/>
    <cellStyle name="Percent 9 2 2 2 3" xfId="17721"/>
    <cellStyle name="Percent 9 2 2 3" xfId="17722"/>
    <cellStyle name="Percent 9 2 2 3 2" xfId="17723"/>
    <cellStyle name="Percent 9 2 2 3 2 2" xfId="17724"/>
    <cellStyle name="Percent 9 2 2 3 3" xfId="17725"/>
    <cellStyle name="Percent 9 2 2 4" xfId="17726"/>
    <cellStyle name="Percent 9 2 2 4 2" xfId="17727"/>
    <cellStyle name="Percent 9 2 2 5" xfId="17728"/>
    <cellStyle name="Percent 9 2 3" xfId="17729"/>
    <cellStyle name="Percent 9 2 3 2" xfId="17730"/>
    <cellStyle name="Percent 9 2 3 2 2" xfId="17731"/>
    <cellStyle name="Percent 9 2 3 2 2 2" xfId="17732"/>
    <cellStyle name="Percent 9 2 3 2 3" xfId="17733"/>
    <cellStyle name="Percent 9 2 3 3" xfId="17734"/>
    <cellStyle name="Percent 9 2 3 3 2" xfId="17735"/>
    <cellStyle name="Percent 9 2 3 3 2 2" xfId="17736"/>
    <cellStyle name="Percent 9 2 3 3 3" xfId="17737"/>
    <cellStyle name="Percent 9 2 3 4" xfId="17738"/>
    <cellStyle name="Percent 9 2 3 4 2" xfId="17739"/>
    <cellStyle name="Percent 9 2 3 5" xfId="17740"/>
    <cellStyle name="Percent 9 2 4" xfId="17741"/>
    <cellStyle name="Percent 9 2 4 2" xfId="17742"/>
    <cellStyle name="Percent 9 2 4 2 2" xfId="17743"/>
    <cellStyle name="Percent 9 2 4 2 2 2" xfId="17744"/>
    <cellStyle name="Percent 9 2 4 2 3" xfId="17745"/>
    <cellStyle name="Percent 9 2 4 3" xfId="17746"/>
    <cellStyle name="Percent 9 2 4 3 2" xfId="17747"/>
    <cellStyle name="Percent 9 2 4 3 2 2" xfId="17748"/>
    <cellStyle name="Percent 9 2 4 3 3" xfId="17749"/>
    <cellStyle name="Percent 9 2 4 4" xfId="17750"/>
    <cellStyle name="Percent 9 2 4 4 2" xfId="17751"/>
    <cellStyle name="Percent 9 2 4 5" xfId="17752"/>
    <cellStyle name="Percent 9 2 5" xfId="17753"/>
    <cellStyle name="Percent 9 2 6" xfId="17754"/>
    <cellStyle name="Percent 9 2 7" xfId="17755"/>
    <cellStyle name="Percent 9 2 7 2" xfId="17756"/>
    <cellStyle name="Percent 9 2 7 2 2" xfId="17757"/>
    <cellStyle name="Percent 9 2 7 3" xfId="17758"/>
    <cellStyle name="Percent 9 3" xfId="17759"/>
    <cellStyle name="Percent 9 3 2" xfId="17760"/>
    <cellStyle name="Percent 9 3 2 2" xfId="17761"/>
    <cellStyle name="Percent 9 3 2 2 2" xfId="17762"/>
    <cellStyle name="Percent 9 3 2 3" xfId="17763"/>
    <cellStyle name="Percent 9 3 3" xfId="17764"/>
    <cellStyle name="Percent 9 3 3 2" xfId="17765"/>
    <cellStyle name="Percent 9 3 3 2 2" xfId="17766"/>
    <cellStyle name="Percent 9 3 3 3" xfId="17767"/>
    <cellStyle name="Percent 9 3 4" xfId="17768"/>
    <cellStyle name="Percent 9 3 4 2" xfId="17769"/>
    <cellStyle name="Percent 9 3 5" xfId="17770"/>
    <cellStyle name="Percent 9 4" xfId="17771"/>
    <cellStyle name="Percent 9 4 2" xfId="17772"/>
    <cellStyle name="Percent 9 4 2 2" xfId="17773"/>
    <cellStyle name="Percent 9 4 2 2 2" xfId="17774"/>
    <cellStyle name="Percent 9 4 2 3" xfId="17775"/>
    <cellStyle name="Percent 9 4 3" xfId="17776"/>
    <cellStyle name="Percent 9 4 3 2" xfId="17777"/>
    <cellStyle name="Percent 9 4 3 2 2" xfId="17778"/>
    <cellStyle name="Percent 9 4 3 3" xfId="17779"/>
    <cellStyle name="Percent 9 4 4" xfId="17780"/>
    <cellStyle name="Percent 9 4 4 2" xfId="17781"/>
    <cellStyle name="Percent 9 4 5" xfId="17782"/>
    <cellStyle name="Percent 9 5" xfId="17783"/>
    <cellStyle name="Percent 9 5 2" xfId="17784"/>
    <cellStyle name="Percent 9 5 2 2" xfId="17785"/>
    <cellStyle name="Percent 9 5 2 2 2" xfId="17786"/>
    <cellStyle name="Percent 9 5 2 3" xfId="17787"/>
    <cellStyle name="Percent 9 5 3" xfId="17788"/>
    <cellStyle name="Percent 9 5 3 2" xfId="17789"/>
    <cellStyle name="Percent 9 5 3 2 2" xfId="17790"/>
    <cellStyle name="Percent 9 5 3 3" xfId="17791"/>
    <cellStyle name="Percent 9 5 4" xfId="17792"/>
    <cellStyle name="Percent 9 5 4 2" xfId="17793"/>
    <cellStyle name="Percent 9 5 5" xfId="17794"/>
    <cellStyle name="Percent 9 6" xfId="17795"/>
    <cellStyle name="Percent 9 7" xfId="17796"/>
    <cellStyle name="Percent 9 8" xfId="17797"/>
    <cellStyle name="Percent 9 8 2" xfId="17798"/>
    <cellStyle name="Percent 9 8 2 2" xfId="17799"/>
    <cellStyle name="Percent 9 8 3" xfId="17800"/>
    <cellStyle name="Primary Input" xfId="17801"/>
    <cellStyle name="Primary Input 2" xfId="17802"/>
    <cellStyle name="Primary Input 2 2" xfId="17803"/>
    <cellStyle name="Primary Input 3" xfId="17804"/>
    <cellStyle name="Primary Input 3 2" xfId="18565"/>
    <cellStyle name="Primary Input 4" xfId="18566"/>
    <cellStyle name="Retrieval" xfId="17805"/>
    <cellStyle name="Retrieval 2" xfId="17806"/>
    <cellStyle name="Retrieval 2 2" xfId="17807"/>
    <cellStyle name="Retrieval 3" xfId="17808"/>
    <cellStyle name="Retrieval 3 2" xfId="18567"/>
    <cellStyle name="Retrieval 4" xfId="18568"/>
    <cellStyle name="Retrieval from Scenario Mgr" xfId="17809"/>
    <cellStyle name="Retrieval from Scenario Mgr 2" xfId="17810"/>
    <cellStyle name="Retrieval from Scenario Mgr 3" xfId="18569"/>
    <cellStyle name="Retrieval from Scenario Mgr 4" xfId="18570"/>
    <cellStyle name="SAPBEXaggData" xfId="17811"/>
    <cellStyle name="SAPBEXaggData 2" xfId="17812"/>
    <cellStyle name="SAPBEXaggData 3" xfId="18571"/>
    <cellStyle name="SAPBEXaggDataEmph" xfId="17813"/>
    <cellStyle name="SAPBEXaggDataEmph 2" xfId="17814"/>
    <cellStyle name="SAPBEXaggDataEmph 3" xfId="18572"/>
    <cellStyle name="SAPBEXaggItem" xfId="17815"/>
    <cellStyle name="SAPBEXaggItem 2" xfId="17816"/>
    <cellStyle name="SAPBEXaggItem 3" xfId="18573"/>
    <cellStyle name="SAPBEXaggItemX" xfId="17817"/>
    <cellStyle name="SAPBEXaggItemX 2" xfId="17818"/>
    <cellStyle name="SAPBEXchaText" xfId="17819"/>
    <cellStyle name="SAPBEXchaText 2" xfId="17820"/>
    <cellStyle name="SAPBEXchaText 2 2" xfId="17821"/>
    <cellStyle name="SAPBEXchaText 2 3" xfId="17822"/>
    <cellStyle name="SAPBEXchaText 3" xfId="17823"/>
    <cellStyle name="SAPBEXchaText 3 2" xfId="18574"/>
    <cellStyle name="SAPBEXchaText 4" xfId="17824"/>
    <cellStyle name="SAPBEXchaText 4 2" xfId="18575"/>
    <cellStyle name="SAPBEXchaText_2009 LOE and Capital Budget by Field v2" xfId="18576"/>
    <cellStyle name="SAPBEXexcBad7" xfId="17825"/>
    <cellStyle name="SAPBEXexcBad7 2" xfId="17826"/>
    <cellStyle name="SAPBEXexcBad7 3" xfId="18577"/>
    <cellStyle name="SAPBEXexcBad8" xfId="17827"/>
    <cellStyle name="SAPBEXexcBad8 2" xfId="17828"/>
    <cellStyle name="SAPBEXexcBad8 3" xfId="18578"/>
    <cellStyle name="SAPBEXexcBad9" xfId="17829"/>
    <cellStyle name="SAPBEXexcBad9 2" xfId="17830"/>
    <cellStyle name="SAPBEXexcBad9 3" xfId="18579"/>
    <cellStyle name="SAPBEXexcCritical4" xfId="17831"/>
    <cellStyle name="SAPBEXexcCritical4 2" xfId="17832"/>
    <cellStyle name="SAPBEXexcCritical4 3" xfId="18580"/>
    <cellStyle name="SAPBEXexcCritical5" xfId="17833"/>
    <cellStyle name="SAPBEXexcCritical5 2" xfId="17834"/>
    <cellStyle name="SAPBEXexcCritical5 3" xfId="18581"/>
    <cellStyle name="SAPBEXexcCritical6" xfId="17835"/>
    <cellStyle name="SAPBEXexcCritical6 2" xfId="17836"/>
    <cellStyle name="SAPBEXexcCritical6 3" xfId="18582"/>
    <cellStyle name="SAPBEXexcGood1" xfId="17837"/>
    <cellStyle name="SAPBEXexcGood1 2" xfId="17838"/>
    <cellStyle name="SAPBEXexcGood1 3" xfId="18583"/>
    <cellStyle name="SAPBEXexcGood2" xfId="17839"/>
    <cellStyle name="SAPBEXexcGood2 2" xfId="17840"/>
    <cellStyle name="SAPBEXexcGood2 3" xfId="18584"/>
    <cellStyle name="SAPBEXexcGood3" xfId="17841"/>
    <cellStyle name="SAPBEXexcGood3 2" xfId="17842"/>
    <cellStyle name="SAPBEXexcGood3 3" xfId="18585"/>
    <cellStyle name="SAPBEXfilterDrill" xfId="17843"/>
    <cellStyle name="SAPBEXfilterDrill 2" xfId="17844"/>
    <cellStyle name="SAPBEXfilterDrill 2 2" xfId="18586"/>
    <cellStyle name="SAPBEXfilterDrill 3" xfId="18587"/>
    <cellStyle name="SAPBEXfilterDrill 3 2" xfId="18588"/>
    <cellStyle name="SAPBEXfilterItem" xfId="17845"/>
    <cellStyle name="SAPBEXfilterItem 2" xfId="17846"/>
    <cellStyle name="SAPBEXfilterItem 2 2" xfId="18589"/>
    <cellStyle name="SAPBEXfilterItem 3" xfId="18590"/>
    <cellStyle name="SAPBEXfilterItem 3 2" xfId="18591"/>
    <cellStyle name="SAPBEXfilterText" xfId="17847"/>
    <cellStyle name="SAPBEXfilterText 2" xfId="17848"/>
    <cellStyle name="SAPBEXfilterText 3" xfId="18592"/>
    <cellStyle name="SAPBEXfilterText 4" xfId="18593"/>
    <cellStyle name="SAPBEXformats" xfId="17849"/>
    <cellStyle name="SAPBEXformats 2" xfId="17850"/>
    <cellStyle name="SAPBEXformats 2 2" xfId="17851"/>
    <cellStyle name="SAPBEXformats 2 3" xfId="17852"/>
    <cellStyle name="SAPBEXformats 3" xfId="17853"/>
    <cellStyle name="SAPBEXformats 3 2" xfId="18594"/>
    <cellStyle name="SAPBEXformats 4" xfId="17854"/>
    <cellStyle name="SAPBEXformats 4 2" xfId="18595"/>
    <cellStyle name="SAPBEXheaderItem" xfId="17855"/>
    <cellStyle name="SAPBEXheaderItem 2" xfId="17856"/>
    <cellStyle name="SAPBEXheaderItem 2 2" xfId="17857"/>
    <cellStyle name="SAPBEXheaderItem 3" xfId="17858"/>
    <cellStyle name="SAPBEXheaderItem 3 2" xfId="18596"/>
    <cellStyle name="SAPBEXheaderItem 4" xfId="18597"/>
    <cellStyle name="SAPBEXheaderItem 4 2" xfId="18598"/>
    <cellStyle name="SAPBEXheaderText" xfId="17859"/>
    <cellStyle name="SAPBEXheaderText 2" xfId="17860"/>
    <cellStyle name="SAPBEXheaderText 2 2" xfId="17861"/>
    <cellStyle name="SAPBEXheaderText 3" xfId="17862"/>
    <cellStyle name="SAPBEXheaderText 3 2" xfId="18599"/>
    <cellStyle name="SAPBEXheaderText 4" xfId="18600"/>
    <cellStyle name="SAPBEXheaderText 4 2" xfId="18601"/>
    <cellStyle name="SAPBEXHLevel0" xfId="17863"/>
    <cellStyle name="SAPBEXHLevel0 2" xfId="17864"/>
    <cellStyle name="SAPBEXHLevel0 2 2" xfId="17865"/>
    <cellStyle name="SAPBEXHLevel0 2 3" xfId="17866"/>
    <cellStyle name="SAPBEXHLevel0 3" xfId="17867"/>
    <cellStyle name="SAPBEXHLevel0 3 2" xfId="18602"/>
    <cellStyle name="SAPBEXHLevel0 4" xfId="17868"/>
    <cellStyle name="SAPBEXHLevel0X" xfId="17869"/>
    <cellStyle name="SAPBEXHLevel0X 2" xfId="17870"/>
    <cellStyle name="SAPBEXHLevel0X 2 2" xfId="17871"/>
    <cellStyle name="SAPBEXHLevel0X 2 3" xfId="17872"/>
    <cellStyle name="SAPBEXHLevel0X 3" xfId="17873"/>
    <cellStyle name="SAPBEXHLevel0X 3 2" xfId="18603"/>
    <cellStyle name="SAPBEXHLevel0X 4" xfId="17874"/>
    <cellStyle name="SAPBEXHLevel1" xfId="17875"/>
    <cellStyle name="SAPBEXHLevel1 2" xfId="17876"/>
    <cellStyle name="SAPBEXHLevel1 2 2" xfId="17877"/>
    <cellStyle name="SAPBEXHLevel1 2 3" xfId="17878"/>
    <cellStyle name="SAPBEXHLevel1 3" xfId="17879"/>
    <cellStyle name="SAPBEXHLevel1 3 2" xfId="18604"/>
    <cellStyle name="SAPBEXHLevel1 4" xfId="17880"/>
    <cellStyle name="SAPBEXHLevel1X" xfId="17881"/>
    <cellStyle name="SAPBEXHLevel1X 2" xfId="17882"/>
    <cellStyle name="SAPBEXHLevel1X 2 2" xfId="17883"/>
    <cellStyle name="SAPBEXHLevel1X 2 3" xfId="17884"/>
    <cellStyle name="SAPBEXHLevel1X 3" xfId="17885"/>
    <cellStyle name="SAPBEXHLevel1X 3 2" xfId="18605"/>
    <cellStyle name="SAPBEXHLevel1X 4" xfId="17886"/>
    <cellStyle name="SAPBEXHLevel2" xfId="17887"/>
    <cellStyle name="SAPBEXHLevel2 2" xfId="17888"/>
    <cellStyle name="SAPBEXHLevel2 2 2" xfId="17889"/>
    <cellStyle name="SAPBEXHLevel2 2 3" xfId="17890"/>
    <cellStyle name="SAPBEXHLevel2 3" xfId="17891"/>
    <cellStyle name="SAPBEXHLevel2 3 2" xfId="18606"/>
    <cellStyle name="SAPBEXHLevel2 4" xfId="17892"/>
    <cellStyle name="SAPBEXHLevel2X" xfId="17893"/>
    <cellStyle name="SAPBEXHLevel2X 2" xfId="17894"/>
    <cellStyle name="SAPBEXHLevel2X 2 2" xfId="17895"/>
    <cellStyle name="SAPBEXHLevel2X 2 3" xfId="17896"/>
    <cellStyle name="SAPBEXHLevel2X 3" xfId="17897"/>
    <cellStyle name="SAPBEXHLevel2X 3 2" xfId="18607"/>
    <cellStyle name="SAPBEXHLevel2X 4" xfId="17898"/>
    <cellStyle name="SAPBEXHLevel3" xfId="17899"/>
    <cellStyle name="SAPBEXHLevel3 2" xfId="17900"/>
    <cellStyle name="SAPBEXHLevel3 2 2" xfId="17901"/>
    <cellStyle name="SAPBEXHLevel3 2 3" xfId="17902"/>
    <cellStyle name="SAPBEXHLevel3 3" xfId="17903"/>
    <cellStyle name="SAPBEXHLevel3 3 2" xfId="18608"/>
    <cellStyle name="SAPBEXHLevel3 4" xfId="17904"/>
    <cellStyle name="SAPBEXHLevel3X" xfId="17905"/>
    <cellStyle name="SAPBEXHLevel3X 2" xfId="17906"/>
    <cellStyle name="SAPBEXHLevel3X 2 2" xfId="17907"/>
    <cellStyle name="SAPBEXHLevel3X 2 3" xfId="17908"/>
    <cellStyle name="SAPBEXHLevel3X 3" xfId="17909"/>
    <cellStyle name="SAPBEXHLevel3X 3 2" xfId="18609"/>
    <cellStyle name="SAPBEXHLevel3X 4" xfId="17910"/>
    <cellStyle name="SAPBEXinputData" xfId="18610"/>
    <cellStyle name="SAPBEXItemHeader" xfId="18611"/>
    <cellStyle name="SAPBEXresData" xfId="17911"/>
    <cellStyle name="SAPBEXresData 2" xfId="17912"/>
    <cellStyle name="SAPBEXresData 3" xfId="18612"/>
    <cellStyle name="SAPBEXresDataEmph" xfId="17913"/>
    <cellStyle name="SAPBEXresDataEmph 2" xfId="17914"/>
    <cellStyle name="SAPBEXresDataEmph 3" xfId="18613"/>
    <cellStyle name="SAPBEXresItem" xfId="17915"/>
    <cellStyle name="SAPBEXresItem 2" xfId="17916"/>
    <cellStyle name="SAPBEXresItem 3" xfId="18614"/>
    <cellStyle name="SAPBEXresItemX" xfId="17917"/>
    <cellStyle name="SAPBEXresItemX 2" xfId="17918"/>
    <cellStyle name="SAPBEXstdData" xfId="17919"/>
    <cellStyle name="SAPBEXstdData 2" xfId="17920"/>
    <cellStyle name="SAPBEXstdData 2 2" xfId="18615"/>
    <cellStyle name="SAPBEXstdData 3" xfId="18616"/>
    <cellStyle name="SAPBEXstdData 3 2" xfId="18617"/>
    <cellStyle name="SAPBEXstdData_2009 LOE and Capital Budget by Field v2" xfId="18618"/>
    <cellStyle name="SAPBEXstdDataEmph" xfId="17921"/>
    <cellStyle name="SAPBEXstdDataEmph 2" xfId="17922"/>
    <cellStyle name="SAPBEXstdDataEmph 3" xfId="18619"/>
    <cellStyle name="SAPBEXstdItem" xfId="17923"/>
    <cellStyle name="SAPBEXstdItem 2" xfId="17924"/>
    <cellStyle name="SAPBEXstdItem 2 2" xfId="17925"/>
    <cellStyle name="SAPBEXstdItem 2 3" xfId="17926"/>
    <cellStyle name="SAPBEXstdItem 3" xfId="17927"/>
    <cellStyle name="SAPBEXstdItem 3 2" xfId="18620"/>
    <cellStyle name="SAPBEXstdItem 4" xfId="17928"/>
    <cellStyle name="SAPBEXstdItem 4 2" xfId="18621"/>
    <cellStyle name="SAPBEXstdItem 5" xfId="18622"/>
    <cellStyle name="SAPBEXstdItem_2009 LOE and Capital Budget by Field v2" xfId="18623"/>
    <cellStyle name="SAPBEXstdItemX" xfId="17929"/>
    <cellStyle name="SAPBEXstdItemX 2" xfId="17930"/>
    <cellStyle name="SAPBEXstdItemX 2 2" xfId="17931"/>
    <cellStyle name="SAPBEXstdItemX 2 3" xfId="17932"/>
    <cellStyle name="SAPBEXstdItemX 3" xfId="17933"/>
    <cellStyle name="SAPBEXstdItemX 3 2" xfId="18624"/>
    <cellStyle name="SAPBEXstdItemX 4" xfId="17934"/>
    <cellStyle name="SAPBEXtitle" xfId="17935"/>
    <cellStyle name="SAPBEXtitle 2" xfId="17936"/>
    <cellStyle name="SAPBEXtitle 2 2" xfId="18625"/>
    <cellStyle name="SAPBEXtitle 3" xfId="18626"/>
    <cellStyle name="SAPBEXtitle 3 2" xfId="18627"/>
    <cellStyle name="SAPBEXtitle 4" xfId="18628"/>
    <cellStyle name="SAPBEXunassignedItem" xfId="18629"/>
    <cellStyle name="SAPBEXundefined" xfId="17937"/>
    <cellStyle name="SAPBEXundefined 2" xfId="17938"/>
    <cellStyle name="SAPBEXundefined 3" xfId="18630"/>
    <cellStyle name="shade" xfId="17939"/>
    <cellStyle name="shade 2" xfId="17940"/>
    <cellStyle name="shade 3" xfId="17941"/>
    <cellStyle name="shade 4" xfId="17942"/>
    <cellStyle name="shade 5" xfId="17943"/>
    <cellStyle name="shade 6" xfId="17944"/>
    <cellStyle name="shade 7" xfId="17945"/>
    <cellStyle name="shade 8" xfId="17946"/>
    <cellStyle name="shade 9" xfId="17947"/>
    <cellStyle name="Sheet Title" xfId="18631"/>
    <cellStyle name="Shell" xfId="17948"/>
    <cellStyle name="Style2" xfId="18632"/>
    <cellStyle name="SUBHEAD" xfId="17949"/>
    <cellStyle name="SUBTEXT" xfId="17950"/>
    <cellStyle name="tep" xfId="17951"/>
    <cellStyle name="tep 2" xfId="17952"/>
    <cellStyle name="tep 3" xfId="18633"/>
    <cellStyle name="tep 4" xfId="18634"/>
    <cellStyle name="Title 2" xfId="17953"/>
    <cellStyle name="Title 2 2" xfId="17954"/>
    <cellStyle name="Title 2 3" xfId="17955"/>
    <cellStyle name="Title 3" xfId="17956"/>
    <cellStyle name="Title 3 2" xfId="17957"/>
    <cellStyle name="Title 4" xfId="17958"/>
    <cellStyle name="Title 5" xfId="17959"/>
    <cellStyle name="Title 5 2" xfId="17960"/>
    <cellStyle name="Title 5 2 2" xfId="17961"/>
    <cellStyle name="Title 6" xfId="17962"/>
    <cellStyle name="Title 6 2" xfId="17963"/>
    <cellStyle name="Title 7" xfId="17964"/>
    <cellStyle name="Title 8" xfId="18635"/>
    <cellStyle name="Total 2" xfId="17965"/>
    <cellStyle name="Total 2 2" xfId="17966"/>
    <cellStyle name="Total 2 2 2" xfId="17967"/>
    <cellStyle name="Total 2 3" xfId="17968"/>
    <cellStyle name="Total 2 3 2" xfId="17969"/>
    <cellStyle name="Total 2 4" xfId="17970"/>
    <cellStyle name="Total 3" xfId="17971"/>
    <cellStyle name="Total 3 2" xfId="17972"/>
    <cellStyle name="Total 3 2 2" xfId="17973"/>
    <cellStyle name="Total 3 3" xfId="17974"/>
    <cellStyle name="Total 4" xfId="17975"/>
    <cellStyle name="Total 4 2" xfId="17976"/>
    <cellStyle name="Total 5" xfId="17977"/>
    <cellStyle name="Total 5 2" xfId="17978"/>
    <cellStyle name="Total 5 2 2" xfId="17979"/>
    <cellStyle name="Total 6" xfId="17980"/>
    <cellStyle name="Total 6 2" xfId="17981"/>
    <cellStyle name="Total 6 2 2" xfId="17982"/>
    <cellStyle name="Total 7" xfId="17983"/>
    <cellStyle name="Total 8" xfId="18636"/>
    <cellStyle name="unshade" xfId="17984"/>
    <cellStyle name="unshade 2" xfId="17985"/>
    <cellStyle name="unshade 3" xfId="17986"/>
    <cellStyle name="unshade 4" xfId="17987"/>
    <cellStyle name="unshade 5" xfId="17988"/>
    <cellStyle name="unshade 6" xfId="17989"/>
    <cellStyle name="unshade 7" xfId="17990"/>
    <cellStyle name="unshade 8" xfId="17991"/>
    <cellStyle name="Warning Text 2" xfId="17992"/>
    <cellStyle name="Warning Text 2 2" xfId="17993"/>
    <cellStyle name="Warning Text 2 3" xfId="17994"/>
    <cellStyle name="Warning Text 3" xfId="17995"/>
    <cellStyle name="Warning Text 3 2" xfId="17996"/>
    <cellStyle name="Warning Text 4" xfId="17997"/>
    <cellStyle name="Warning Text 5" xfId="17998"/>
    <cellStyle name="Warning Text 6" xfId="18637"/>
    <cellStyle name="Yellow" xfId="18638"/>
  </cellStyles>
  <dxfs count="134">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ont>
        <color rgb="FFFFFFFF"/>
      </font>
      <fill>
        <patternFill>
          <bgColor rgb="FF0000FF"/>
        </patternFill>
      </fill>
    </dxf>
    <dxf>
      <font>
        <color rgb="FFFFFFFF"/>
      </font>
      <fill>
        <patternFill>
          <bgColor rgb="FF400080"/>
        </patternFill>
      </fill>
    </dxf>
    <dxf>
      <fill>
        <gradientFill degree="90">
          <stop position="0">
            <color rgb="FF149C24"/>
          </stop>
          <stop position="0.5">
            <color rgb="FF00CC00"/>
          </stop>
          <stop position="1">
            <color rgb="FF149C24"/>
          </stop>
        </gradientFill>
      </fill>
    </dxf>
    <dxf>
      <fill>
        <gradientFill degree="90">
          <stop position="0">
            <color rgb="FFFFC000"/>
          </stop>
          <stop position="0.5">
            <color rgb="FFFFFF00"/>
          </stop>
          <stop position="1">
            <color rgb="FFFFC000"/>
          </stop>
        </gradientFill>
      </fill>
    </dxf>
    <dxf>
      <fill>
        <gradientFill degree="90">
          <stop position="0">
            <color rgb="FFFF0000"/>
          </stop>
          <stop position="0.5">
            <color rgb="FFFB723B"/>
          </stop>
          <stop position="1">
            <color rgb="FFFF0000"/>
          </stop>
        </gradientFill>
      </fill>
    </dxf>
    <dxf>
      <fill>
        <gradientFill degree="90">
          <stop position="0">
            <color rgb="FFFFC000"/>
          </stop>
          <stop position="0.5">
            <color rgb="FFFFFF00"/>
          </stop>
          <stop position="1">
            <color rgb="FFFFC000"/>
          </stop>
        </gradientFill>
      </fill>
    </dxf>
    <dxf>
      <fill>
        <gradientFill degree="90">
          <stop position="0">
            <color rgb="FFFF0000"/>
          </stop>
          <stop position="0.5">
            <color rgb="FFFB723B"/>
          </stop>
          <stop position="1">
            <color rgb="FFFF0000"/>
          </stop>
        </gradientFill>
      </fill>
    </dxf>
    <dxf>
      <fill>
        <gradientFill degree="90">
          <stop position="0">
            <color rgb="FF149C24"/>
          </stop>
          <stop position="0.5">
            <color rgb="FF00CC00"/>
          </stop>
          <stop position="1">
            <color rgb="FF149C24"/>
          </stop>
        </gradientFill>
      </fill>
    </dxf>
  </dxfs>
  <tableStyles count="0" defaultTableStyle="TableStyleMedium2" defaultPivotStyle="PivotStyleLight16"/>
  <colors>
    <mruColors>
      <color rgb="FF00CC00"/>
      <color rgb="FF149C24"/>
      <color rgb="FFFF9933"/>
      <color rgb="FFFB723B"/>
      <color rgb="FFFF3300"/>
      <color rgb="FF4EB240"/>
      <color rgb="FFFF4F4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Budget</a:t>
            </a:r>
            <a:r>
              <a:rPr lang="en-US" sz="2800" baseline="0"/>
              <a:t> Overview</a:t>
            </a:r>
            <a:endParaRPr lang="en-US" sz="2800"/>
          </a:p>
        </c:rich>
      </c:tx>
      <c:layout>
        <c:manualLayout>
          <c:xMode val="edge"/>
          <c:yMode val="edge"/>
          <c:x val="0.28791660558459653"/>
          <c:y val="1.56151924756904E-2"/>
        </c:manualLayout>
      </c:layout>
      <c:overlay val="0"/>
    </c:title>
    <c:autoTitleDeleted val="0"/>
    <c:plotArea>
      <c:layout/>
      <c:barChart>
        <c:barDir val="col"/>
        <c:grouping val="clustered"/>
        <c:varyColors val="0"/>
        <c:ser>
          <c:idx val="2"/>
          <c:order val="4"/>
          <c:tx>
            <c:strRef>
              <c:f>'All Rev &amp; Projects'!$C$199</c:f>
              <c:strCache>
                <c:ptCount val="1"/>
                <c:pt idx="0">
                  <c:v>Revenue -  Surplus / (Shortfall)</c:v>
                </c:pt>
              </c:strCache>
            </c:strRef>
          </c:tx>
          <c:spPr>
            <a:solidFill>
              <a:srgbClr val="9BBB59"/>
            </a:solidFill>
          </c:spPr>
          <c:invertIfNegative val="1"/>
          <c:cat>
            <c:strRef>
              <c:f>'All Rev &amp; Projects'!$E$7:$T$7</c:f>
              <c:strCache>
                <c:ptCount val="16"/>
                <c:pt idx="0">
                  <c:v>FY 2015</c:v>
                </c:pt>
                <c:pt idx="1">
                  <c:v>FY 2016</c:v>
                </c:pt>
                <c:pt idx="2">
                  <c:v>FY 2017</c:v>
                </c:pt>
                <c:pt idx="3">
                  <c:v>FY 2018</c:v>
                </c:pt>
                <c:pt idx="4">
                  <c:v>FY 2019</c:v>
                </c:pt>
                <c:pt idx="5">
                  <c:v>FY 2020</c:v>
                </c:pt>
                <c:pt idx="6">
                  <c:v>FY 2021</c:v>
                </c:pt>
                <c:pt idx="7">
                  <c:v>FY 2022</c:v>
                </c:pt>
                <c:pt idx="8">
                  <c:v>FY 2023</c:v>
                </c:pt>
                <c:pt idx="9">
                  <c:v>FY 2024</c:v>
                </c:pt>
                <c:pt idx="10">
                  <c:v>FY 2025</c:v>
                </c:pt>
                <c:pt idx="11">
                  <c:v>FY 2026</c:v>
                </c:pt>
                <c:pt idx="12">
                  <c:v>FY 2027</c:v>
                </c:pt>
                <c:pt idx="13">
                  <c:v>FY 2028</c:v>
                </c:pt>
                <c:pt idx="14">
                  <c:v>FY 2029</c:v>
                </c:pt>
                <c:pt idx="15">
                  <c:v>FY 2030</c:v>
                </c:pt>
              </c:strCache>
            </c:strRef>
          </c:cat>
          <c:val>
            <c:numRef>
              <c:f>'All Rev &amp; Projects'!$E$199:$T$199</c:f>
              <c:numCache>
                <c:formatCode>#,##0.0_);[Red]\(#,##0.0\)</c:formatCode>
                <c:ptCount val="16"/>
                <c:pt idx="0">
                  <c:v>-3748.9785268230426</c:v>
                </c:pt>
                <c:pt idx="1">
                  <c:v>-3023.3234000000007</c:v>
                </c:pt>
                <c:pt idx="2">
                  <c:v>-3063.0617437474998</c:v>
                </c:pt>
                <c:pt idx="3">
                  <c:v>-3210.3371329818178</c:v>
                </c:pt>
                <c:pt idx="4">
                  <c:v>-3418.1637184739097</c:v>
                </c:pt>
                <c:pt idx="5">
                  <c:v>-3612.3034021395724</c:v>
                </c:pt>
                <c:pt idx="6">
                  <c:v>-3815.7194786877121</c:v>
                </c:pt>
                <c:pt idx="7">
                  <c:v>-4030.6766669581862</c:v>
                </c:pt>
                <c:pt idx="8">
                  <c:v>-4231.3411419647446</c:v>
                </c:pt>
                <c:pt idx="9">
                  <c:v>-4447.3805676589518</c:v>
                </c:pt>
                <c:pt idx="10">
                  <c:v>-4665.9641304312763</c:v>
                </c:pt>
                <c:pt idx="11">
                  <c:v>-4890.1625733659803</c:v>
                </c:pt>
                <c:pt idx="12">
                  <c:v>-5123.2482312667153</c:v>
                </c:pt>
                <c:pt idx="13">
                  <c:v>-5309.4950664702155</c:v>
                </c:pt>
                <c:pt idx="14">
                  <c:v>-5493.6787054657943</c:v>
                </c:pt>
                <c:pt idx="15">
                  <c:v>-5728.9764763387739</c:v>
                </c:pt>
              </c:numCache>
            </c:numRef>
          </c:val>
          <c:extLst>
            <c:ext xmlns:c14="http://schemas.microsoft.com/office/drawing/2007/8/2/chart" uri="{6F2FDCE9-48DA-4B69-8628-5D25D57E5C99}">
              <c14:invertSolidFillFmt>
                <c14:spPr xmlns:c14="http://schemas.microsoft.com/office/drawing/2007/8/2/chart">
                  <a:solidFill>
                    <a:srgbClr val="FF0000"/>
                  </a:solidFill>
                </c14:spPr>
              </c14:invertSolidFillFmt>
            </c:ext>
          </c:extLst>
        </c:ser>
        <c:dLbls>
          <c:showLegendKey val="0"/>
          <c:showVal val="0"/>
          <c:showCatName val="0"/>
          <c:showSerName val="0"/>
          <c:showPercent val="0"/>
          <c:showBubbleSize val="0"/>
        </c:dLbls>
        <c:gapWidth val="150"/>
        <c:axId val="87291008"/>
        <c:axId val="87292544"/>
      </c:barChart>
      <c:lineChart>
        <c:grouping val="standard"/>
        <c:varyColors val="0"/>
        <c:ser>
          <c:idx val="5"/>
          <c:order val="0"/>
          <c:tx>
            <c:v>Current Revenue</c:v>
          </c:tx>
          <c:spPr>
            <a:ln w="31750">
              <a:solidFill>
                <a:schemeClr val="accent1">
                  <a:lumMod val="75000"/>
                </a:schemeClr>
              </a:solidFill>
              <a:prstDash val="sysDot"/>
            </a:ln>
          </c:spPr>
          <c:marker>
            <c:symbol val="none"/>
          </c:marker>
          <c:val>
            <c:numRef>
              <c:f>'All Rev &amp; Projects'!$E$8:$T$8</c:f>
              <c:numCache>
                <c:formatCode>_(* #,##0.0_);_(* \(#,##0.0\);_(* "-"??_);_(@_)</c:formatCode>
                <c:ptCount val="16"/>
                <c:pt idx="0">
                  <c:v>2375.6</c:v>
                </c:pt>
                <c:pt idx="1">
                  <c:v>2311.4</c:v>
                </c:pt>
                <c:pt idx="2">
                  <c:v>2371.4</c:v>
                </c:pt>
                <c:pt idx="3">
                  <c:v>2346.4</c:v>
                </c:pt>
                <c:pt idx="4">
                  <c:v>2263.6</c:v>
                </c:pt>
                <c:pt idx="5">
                  <c:v>2197.3000000000002</c:v>
                </c:pt>
                <c:pt idx="6">
                  <c:v>2124.6</c:v>
                </c:pt>
                <c:pt idx="7">
                  <c:v>2043.3</c:v>
                </c:pt>
                <c:pt idx="8">
                  <c:v>1979.3</c:v>
                </c:pt>
                <c:pt idx="9">
                  <c:v>1903</c:v>
                </c:pt>
                <c:pt idx="10">
                  <c:v>1827.3</c:v>
                </c:pt>
                <c:pt idx="11">
                  <c:v>1749.2</c:v>
                </c:pt>
                <c:pt idx="12">
                  <c:v>1665.5</c:v>
                </c:pt>
                <c:pt idx="13">
                  <c:v>1632</c:v>
                </c:pt>
                <c:pt idx="14">
                  <c:v>1604</c:v>
                </c:pt>
                <c:pt idx="15">
                  <c:v>1528.4</c:v>
                </c:pt>
              </c:numCache>
            </c:numRef>
          </c:val>
          <c:smooth val="0"/>
        </c:ser>
        <c:ser>
          <c:idx val="4"/>
          <c:order val="1"/>
          <c:tx>
            <c:v>Current Budget</c:v>
          </c:tx>
          <c:spPr>
            <a:ln w="31750">
              <a:solidFill>
                <a:schemeClr val="accent2">
                  <a:lumMod val="75000"/>
                </a:schemeClr>
              </a:solidFill>
              <a:prstDash val="sysDot"/>
            </a:ln>
          </c:spPr>
          <c:marker>
            <c:symbol val="none"/>
          </c:marker>
          <c:val>
            <c:numRef>
              <c:f>'All Rev &amp; Projects'!$E$238:$T$238</c:f>
              <c:numCache>
                <c:formatCode>_(* #,##0.00_);_(* \(#,##0.00\);_(* "-"??_);_(@_)</c:formatCode>
                <c:ptCount val="16"/>
                <c:pt idx="0" formatCode="0.00">
                  <c:v>6103.0234</c:v>
                </c:pt>
                <c:pt idx="1">
                  <c:v>5334.7234000000008</c:v>
                </c:pt>
                <c:pt idx="2" formatCode="General">
                  <c:v>5454.7546765000006</c:v>
                </c:pt>
                <c:pt idx="3" formatCode="General">
                  <c:v>5577.4866567212503</c:v>
                </c:pt>
                <c:pt idx="4" formatCode="General">
                  <c:v>5702.9801064974781</c:v>
                </c:pt>
                <c:pt idx="5" formatCode="General">
                  <c:v>5831.2971588936716</c:v>
                </c:pt>
                <c:pt idx="6" formatCode="General">
                  <c:v>5962.5013449687794</c:v>
                </c:pt>
                <c:pt idx="7" formatCode="General">
                  <c:v>6096.6576252305767</c:v>
                </c:pt>
                <c:pt idx="8" formatCode="General">
                  <c:v>6233.8324217982645</c:v>
                </c:pt>
                <c:pt idx="9" formatCode="General">
                  <c:v>6374.0936512887256</c:v>
                </c:pt>
                <c:pt idx="10" formatCode="General">
                  <c:v>6517.5107584427215</c:v>
                </c:pt>
                <c:pt idx="11" formatCode="General">
                  <c:v>6664.1547505076824</c:v>
                </c:pt>
                <c:pt idx="12" formatCode="General">
                  <c:v>6814.0982323941053</c:v>
                </c:pt>
                <c:pt idx="13" formatCode="General">
                  <c:v>6967.4154426229725</c:v>
                </c:pt>
                <c:pt idx="14" formatCode="General">
                  <c:v>7124.1822900819889</c:v>
                </c:pt>
                <c:pt idx="15" formatCode="General">
                  <c:v>7284.4763916088332</c:v>
                </c:pt>
              </c:numCache>
            </c:numRef>
          </c:val>
          <c:smooth val="0"/>
        </c:ser>
        <c:ser>
          <c:idx val="0"/>
          <c:order val="2"/>
          <c:tx>
            <c:strRef>
              <c:f>'All Rev &amp; Projects'!$C$178</c:f>
              <c:strCache>
                <c:ptCount val="1"/>
                <c:pt idx="0">
                  <c:v>Total Revenue</c:v>
                </c:pt>
              </c:strCache>
            </c:strRef>
          </c:tx>
          <c:spPr>
            <a:ln w="44450"/>
          </c:spPr>
          <c:marker>
            <c:symbol val="none"/>
          </c:marker>
          <c:cat>
            <c:strRef>
              <c:f>'All Rev &amp; Projects'!$E$7:$T$7</c:f>
              <c:strCache>
                <c:ptCount val="16"/>
                <c:pt idx="0">
                  <c:v>FY 2015</c:v>
                </c:pt>
                <c:pt idx="1">
                  <c:v>FY 2016</c:v>
                </c:pt>
                <c:pt idx="2">
                  <c:v>FY 2017</c:v>
                </c:pt>
                <c:pt idx="3">
                  <c:v>FY 2018</c:v>
                </c:pt>
                <c:pt idx="4">
                  <c:v>FY 2019</c:v>
                </c:pt>
                <c:pt idx="5">
                  <c:v>FY 2020</c:v>
                </c:pt>
                <c:pt idx="6">
                  <c:v>FY 2021</c:v>
                </c:pt>
                <c:pt idx="7">
                  <c:v>FY 2022</c:v>
                </c:pt>
                <c:pt idx="8">
                  <c:v>FY 2023</c:v>
                </c:pt>
                <c:pt idx="9">
                  <c:v>FY 2024</c:v>
                </c:pt>
                <c:pt idx="10">
                  <c:v>FY 2025</c:v>
                </c:pt>
                <c:pt idx="11">
                  <c:v>FY 2026</c:v>
                </c:pt>
                <c:pt idx="12">
                  <c:v>FY 2027</c:v>
                </c:pt>
                <c:pt idx="13">
                  <c:v>FY 2028</c:v>
                </c:pt>
                <c:pt idx="14">
                  <c:v>FY 2029</c:v>
                </c:pt>
                <c:pt idx="15">
                  <c:v>FY 2030</c:v>
                </c:pt>
              </c:strCache>
            </c:strRef>
          </c:cat>
          <c:val>
            <c:numRef>
              <c:f>'All Rev &amp; Projects'!$E$178:$T$178</c:f>
              <c:numCache>
                <c:formatCode>_(* #,##0.0_);_(* \(#,##0.0\);_(* "-"??_);_(@_)</c:formatCode>
                <c:ptCount val="16"/>
                <c:pt idx="0">
                  <c:v>2354</c:v>
                </c:pt>
                <c:pt idx="1">
                  <c:v>2311.4</c:v>
                </c:pt>
                <c:pt idx="2">
                  <c:v>2371.4</c:v>
                </c:pt>
                <c:pt idx="3">
                  <c:v>2346.4</c:v>
                </c:pt>
                <c:pt idx="4">
                  <c:v>2263.6</c:v>
                </c:pt>
                <c:pt idx="5">
                  <c:v>2197.3000000000002</c:v>
                </c:pt>
                <c:pt idx="6">
                  <c:v>2124.6</c:v>
                </c:pt>
                <c:pt idx="7">
                  <c:v>2043.2999999999997</c:v>
                </c:pt>
                <c:pt idx="8">
                  <c:v>1979.3000000000002</c:v>
                </c:pt>
                <c:pt idx="9">
                  <c:v>1903</c:v>
                </c:pt>
                <c:pt idx="10">
                  <c:v>1827.3</c:v>
                </c:pt>
                <c:pt idx="11">
                  <c:v>1749.2</c:v>
                </c:pt>
                <c:pt idx="12">
                  <c:v>1665.5</c:v>
                </c:pt>
                <c:pt idx="13">
                  <c:v>1632</c:v>
                </c:pt>
                <c:pt idx="14">
                  <c:v>1604</c:v>
                </c:pt>
                <c:pt idx="15">
                  <c:v>1528.4</c:v>
                </c:pt>
              </c:numCache>
            </c:numRef>
          </c:val>
          <c:smooth val="0"/>
        </c:ser>
        <c:ser>
          <c:idx val="1"/>
          <c:order val="3"/>
          <c:tx>
            <c:strRef>
              <c:f>'All Rev &amp; Projects'!$C$197</c:f>
              <c:strCache>
                <c:ptCount val="1"/>
                <c:pt idx="0">
                  <c:v>GF Appropriations and Large Projects</c:v>
                </c:pt>
              </c:strCache>
            </c:strRef>
          </c:tx>
          <c:spPr>
            <a:ln w="44450"/>
          </c:spPr>
          <c:marker>
            <c:symbol val="none"/>
          </c:marker>
          <c:cat>
            <c:strRef>
              <c:f>'All Rev &amp; Projects'!$E$7:$T$7</c:f>
              <c:strCache>
                <c:ptCount val="16"/>
                <c:pt idx="0">
                  <c:v>FY 2015</c:v>
                </c:pt>
                <c:pt idx="1">
                  <c:v>FY 2016</c:v>
                </c:pt>
                <c:pt idx="2">
                  <c:v>FY 2017</c:v>
                </c:pt>
                <c:pt idx="3">
                  <c:v>FY 2018</c:v>
                </c:pt>
                <c:pt idx="4">
                  <c:v>FY 2019</c:v>
                </c:pt>
                <c:pt idx="5">
                  <c:v>FY 2020</c:v>
                </c:pt>
                <c:pt idx="6">
                  <c:v>FY 2021</c:v>
                </c:pt>
                <c:pt idx="7">
                  <c:v>FY 2022</c:v>
                </c:pt>
                <c:pt idx="8">
                  <c:v>FY 2023</c:v>
                </c:pt>
                <c:pt idx="9">
                  <c:v>FY 2024</c:v>
                </c:pt>
                <c:pt idx="10">
                  <c:v>FY 2025</c:v>
                </c:pt>
                <c:pt idx="11">
                  <c:v>FY 2026</c:v>
                </c:pt>
                <c:pt idx="12">
                  <c:v>FY 2027</c:v>
                </c:pt>
                <c:pt idx="13">
                  <c:v>FY 2028</c:v>
                </c:pt>
                <c:pt idx="14">
                  <c:v>FY 2029</c:v>
                </c:pt>
                <c:pt idx="15">
                  <c:v>FY 2030</c:v>
                </c:pt>
              </c:strCache>
            </c:strRef>
          </c:cat>
          <c:val>
            <c:numRef>
              <c:f>'All Rev &amp; Projects'!$E$197:$T$197</c:f>
              <c:numCache>
                <c:formatCode>_(* #,##0.0_);_(* \(#,##0.0\);_(* "-"??_);_(@_)</c:formatCode>
                <c:ptCount val="16"/>
                <c:pt idx="0">
                  <c:v>6102.9785268230426</c:v>
                </c:pt>
                <c:pt idx="1">
                  <c:v>5334.7234000000008</c:v>
                </c:pt>
                <c:pt idx="2">
                  <c:v>5434.4617437474999</c:v>
                </c:pt>
                <c:pt idx="3">
                  <c:v>5556.7371329818179</c:v>
                </c:pt>
                <c:pt idx="4">
                  <c:v>5681.7637184739096</c:v>
                </c:pt>
                <c:pt idx="5">
                  <c:v>5809.6034021395726</c:v>
                </c:pt>
                <c:pt idx="6">
                  <c:v>5940.319478687712</c:v>
                </c:pt>
                <c:pt idx="7">
                  <c:v>6073.9766669581859</c:v>
                </c:pt>
                <c:pt idx="8">
                  <c:v>6210.6411419647447</c:v>
                </c:pt>
                <c:pt idx="9">
                  <c:v>6350.3805676589518</c:v>
                </c:pt>
                <c:pt idx="10">
                  <c:v>6493.2641304312765</c:v>
                </c:pt>
                <c:pt idx="11">
                  <c:v>6639.3625733659801</c:v>
                </c:pt>
                <c:pt idx="12">
                  <c:v>6788.7482312667153</c:v>
                </c:pt>
                <c:pt idx="13">
                  <c:v>6941.4950664702155</c:v>
                </c:pt>
                <c:pt idx="14">
                  <c:v>7097.6787054657943</c:v>
                </c:pt>
                <c:pt idx="15">
                  <c:v>7257.3764763387744</c:v>
                </c:pt>
              </c:numCache>
            </c:numRef>
          </c:val>
          <c:smooth val="0"/>
        </c:ser>
        <c:dLbls>
          <c:showLegendKey val="0"/>
          <c:showVal val="0"/>
          <c:showCatName val="0"/>
          <c:showSerName val="0"/>
          <c:showPercent val="0"/>
          <c:showBubbleSize val="0"/>
        </c:dLbls>
        <c:marker val="1"/>
        <c:smooth val="0"/>
        <c:axId val="87291008"/>
        <c:axId val="87292544"/>
      </c:lineChart>
      <c:catAx>
        <c:axId val="87291008"/>
        <c:scaling>
          <c:orientation val="minMax"/>
        </c:scaling>
        <c:delete val="0"/>
        <c:axPos val="b"/>
        <c:numFmt formatCode="General" sourceLinked="0"/>
        <c:majorTickMark val="out"/>
        <c:minorTickMark val="none"/>
        <c:tickLblPos val="low"/>
        <c:spPr>
          <a:ln w="12700"/>
        </c:spPr>
        <c:txPr>
          <a:bodyPr rot="-2700000"/>
          <a:lstStyle/>
          <a:p>
            <a:pPr>
              <a:defRPr sz="1400" b="1"/>
            </a:pPr>
            <a:endParaRPr lang="en-US"/>
          </a:p>
        </c:txPr>
        <c:crossAx val="87292544"/>
        <c:crosses val="autoZero"/>
        <c:auto val="1"/>
        <c:lblAlgn val="ctr"/>
        <c:lblOffset val="100"/>
        <c:noMultiLvlLbl val="0"/>
      </c:catAx>
      <c:valAx>
        <c:axId val="87292544"/>
        <c:scaling>
          <c:orientation val="minMax"/>
          <c:max val="10000"/>
          <c:min val="-6000"/>
        </c:scaling>
        <c:delete val="0"/>
        <c:axPos val="l"/>
        <c:majorGridlines>
          <c:spPr>
            <a:ln w="12700">
              <a:solidFill>
                <a:schemeClr val="bg1">
                  <a:lumMod val="75000"/>
                </a:schemeClr>
              </a:solidFill>
            </a:ln>
          </c:spPr>
        </c:majorGridlines>
        <c:title>
          <c:tx>
            <c:rich>
              <a:bodyPr rot="-5400000" vert="horz"/>
              <a:lstStyle/>
              <a:p>
                <a:pPr>
                  <a:defRPr sz="1400"/>
                </a:pPr>
                <a:r>
                  <a:rPr lang="en-US" sz="1400"/>
                  <a:t>$ millions</a:t>
                </a:r>
              </a:p>
            </c:rich>
          </c:tx>
          <c:layout/>
          <c:overlay val="0"/>
        </c:title>
        <c:numFmt formatCode="#,##0_);[Red]\(#,##0\)" sourceLinked="0"/>
        <c:majorTickMark val="out"/>
        <c:minorTickMark val="none"/>
        <c:tickLblPos val="nextTo"/>
        <c:spPr>
          <a:ln w="12700">
            <a:solidFill>
              <a:schemeClr val="bg1">
                <a:lumMod val="75000"/>
              </a:schemeClr>
            </a:solidFill>
          </a:ln>
        </c:spPr>
        <c:txPr>
          <a:bodyPr/>
          <a:lstStyle/>
          <a:p>
            <a:pPr>
              <a:defRPr sz="1400" b="1"/>
            </a:pPr>
            <a:endParaRPr lang="en-US"/>
          </a:p>
        </c:txPr>
        <c:crossAx val="87291008"/>
        <c:crosses val="autoZero"/>
        <c:crossBetween val="between"/>
        <c:majorUnit val="1000"/>
      </c:valAx>
    </c:plotArea>
    <c:legend>
      <c:legendPos val="b"/>
      <c:legendEntry>
        <c:idx val="0"/>
        <c:delete val="1"/>
      </c:legendEntry>
      <c:layout/>
      <c:overlay val="0"/>
      <c:txPr>
        <a:bodyPr/>
        <a:lstStyle/>
        <a:p>
          <a:pPr>
            <a:defRPr sz="1200"/>
          </a:pPr>
          <a:endParaRPr lang="en-US"/>
        </a:p>
      </c:txPr>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CBRF &amp; SBRF Balance</a:t>
            </a:r>
          </a:p>
        </c:rich>
      </c:tx>
      <c:layout/>
      <c:overlay val="0"/>
    </c:title>
    <c:autoTitleDeleted val="0"/>
    <c:plotArea>
      <c:layout/>
      <c:lineChart>
        <c:grouping val="standard"/>
        <c:varyColors val="0"/>
        <c:ser>
          <c:idx val="0"/>
          <c:order val="0"/>
          <c:tx>
            <c:strRef>
              <c:f>'All Rev &amp; Projects'!$C$205</c:f>
              <c:strCache>
                <c:ptCount val="1"/>
                <c:pt idx="0">
                  <c:v>CBRF &amp; SBRF Total After Withdrawal/Contributions</c:v>
                </c:pt>
              </c:strCache>
            </c:strRef>
          </c:tx>
          <c:spPr>
            <a:ln w="44450"/>
          </c:spPr>
          <c:marker>
            <c:symbol val="none"/>
          </c:marker>
          <c:cat>
            <c:strRef>
              <c:f>'All Rev &amp; Projects'!$E$201:$T$201</c:f>
              <c:strCache>
                <c:ptCount val="16"/>
                <c:pt idx="0">
                  <c:v>FY 2015</c:v>
                </c:pt>
                <c:pt idx="1">
                  <c:v>FY 2016</c:v>
                </c:pt>
                <c:pt idx="2">
                  <c:v>FY 2017</c:v>
                </c:pt>
                <c:pt idx="3">
                  <c:v>FY 2018</c:v>
                </c:pt>
                <c:pt idx="4">
                  <c:v>FY 2019</c:v>
                </c:pt>
                <c:pt idx="5">
                  <c:v>FY 2020</c:v>
                </c:pt>
                <c:pt idx="6">
                  <c:v>FY 2021</c:v>
                </c:pt>
                <c:pt idx="7">
                  <c:v>FY 2022</c:v>
                </c:pt>
                <c:pt idx="8">
                  <c:v>FY 2023</c:v>
                </c:pt>
                <c:pt idx="9">
                  <c:v>FY 2024</c:v>
                </c:pt>
                <c:pt idx="10">
                  <c:v>FY 2025</c:v>
                </c:pt>
                <c:pt idx="11">
                  <c:v>FY 2026</c:v>
                </c:pt>
                <c:pt idx="12">
                  <c:v>FY 2027</c:v>
                </c:pt>
                <c:pt idx="13">
                  <c:v>FY 2028</c:v>
                </c:pt>
                <c:pt idx="14">
                  <c:v>FY 2029</c:v>
                </c:pt>
                <c:pt idx="15">
                  <c:v>FY 2030</c:v>
                </c:pt>
              </c:strCache>
            </c:strRef>
          </c:cat>
          <c:val>
            <c:numRef>
              <c:f>'All Rev &amp; Projects'!$E$205:$T$205</c:f>
              <c:numCache>
                <c:formatCode>_(* #,##0.0_);_(* \(#,##0.0\);_(* "-"?_);_(@_)</c:formatCode>
                <c:ptCount val="16"/>
                <c:pt idx="0" formatCode="_(* #,##0.00_);_(* \(#,##0.00\);_(* &quot;-&quot;??_);_(@_)">
                  <c:v>9010.4</c:v>
                </c:pt>
                <c:pt idx="1">
                  <c:v>6334.2681832899989</c:v>
                </c:pt>
                <c:pt idx="2">
                  <c:v>3493.5731770610714</c:v>
                </c:pt>
                <c:pt idx="3">
                  <c:v>370.66917754865199</c:v>
                </c:pt>
                <c:pt idx="4">
                  <c:v>0</c:v>
                </c:pt>
                <c:pt idx="5">
                  <c:v>0</c:v>
                </c:pt>
                <c:pt idx="6">
                  <c:v>0</c:v>
                </c:pt>
                <c:pt idx="7">
                  <c:v>0</c:v>
                </c:pt>
                <c:pt idx="8">
                  <c:v>0</c:v>
                </c:pt>
                <c:pt idx="9">
                  <c:v>0</c:v>
                </c:pt>
                <c:pt idx="10">
                  <c:v>0</c:v>
                </c:pt>
                <c:pt idx="11">
                  <c:v>0</c:v>
                </c:pt>
                <c:pt idx="12">
                  <c:v>0</c:v>
                </c:pt>
                <c:pt idx="13">
                  <c:v>0</c:v>
                </c:pt>
                <c:pt idx="14">
                  <c:v>0</c:v>
                </c:pt>
                <c:pt idx="15">
                  <c:v>0</c:v>
                </c:pt>
              </c:numCache>
            </c:numRef>
          </c:val>
          <c:smooth val="0"/>
        </c:ser>
        <c:dLbls>
          <c:showLegendKey val="0"/>
          <c:showVal val="0"/>
          <c:showCatName val="0"/>
          <c:showSerName val="0"/>
          <c:showPercent val="0"/>
          <c:showBubbleSize val="0"/>
        </c:dLbls>
        <c:marker val="1"/>
        <c:smooth val="0"/>
        <c:axId val="87309696"/>
        <c:axId val="87331968"/>
      </c:lineChart>
      <c:catAx>
        <c:axId val="87309696"/>
        <c:scaling>
          <c:orientation val="minMax"/>
        </c:scaling>
        <c:delete val="0"/>
        <c:axPos val="b"/>
        <c:numFmt formatCode="General" sourceLinked="0"/>
        <c:majorTickMark val="out"/>
        <c:minorTickMark val="none"/>
        <c:tickLblPos val="nextTo"/>
        <c:txPr>
          <a:bodyPr rot="-2700000"/>
          <a:lstStyle/>
          <a:p>
            <a:pPr>
              <a:defRPr sz="1400" b="1"/>
            </a:pPr>
            <a:endParaRPr lang="en-US"/>
          </a:p>
        </c:txPr>
        <c:crossAx val="87331968"/>
        <c:crosses val="autoZero"/>
        <c:auto val="1"/>
        <c:lblAlgn val="ctr"/>
        <c:lblOffset val="100"/>
        <c:noMultiLvlLbl val="0"/>
      </c:catAx>
      <c:valAx>
        <c:axId val="87331968"/>
        <c:scaling>
          <c:orientation val="minMax"/>
          <c:max val="20000"/>
          <c:min val="0"/>
        </c:scaling>
        <c:delete val="0"/>
        <c:axPos val="l"/>
        <c:majorGridlines/>
        <c:title>
          <c:tx>
            <c:rich>
              <a:bodyPr rot="-5400000" vert="horz"/>
              <a:lstStyle/>
              <a:p>
                <a:pPr>
                  <a:defRPr sz="1400"/>
                </a:pPr>
                <a:r>
                  <a:rPr lang="en-US" sz="1400"/>
                  <a:t>$ millions</a:t>
                </a:r>
              </a:p>
            </c:rich>
          </c:tx>
          <c:layout/>
          <c:overlay val="0"/>
        </c:title>
        <c:numFmt formatCode="_(* #,##0_);_(* \(#,##0\);_(* &quot;-&quot;_);_(@_)" sourceLinked="0"/>
        <c:majorTickMark val="out"/>
        <c:minorTickMark val="none"/>
        <c:tickLblPos val="nextTo"/>
        <c:txPr>
          <a:bodyPr/>
          <a:lstStyle/>
          <a:p>
            <a:pPr>
              <a:defRPr sz="1400" b="1"/>
            </a:pPr>
            <a:endParaRPr lang="en-US"/>
          </a:p>
        </c:txPr>
        <c:crossAx val="87309696"/>
        <c:crosses val="autoZero"/>
        <c:crossBetween val="between"/>
      </c:valAx>
    </c:plotArea>
    <c:legend>
      <c:legendPos val="b"/>
      <c:layout/>
      <c:overlay val="0"/>
      <c:txPr>
        <a:bodyPr/>
        <a:lstStyle/>
        <a:p>
          <a:pPr>
            <a:defRPr sz="1400"/>
          </a:pPr>
          <a:endParaRPr lang="en-US"/>
        </a:p>
      </c:txPr>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Permanent Fund Balances</a:t>
            </a:r>
          </a:p>
        </c:rich>
      </c:tx>
      <c:layout/>
      <c:overlay val="0"/>
    </c:title>
    <c:autoTitleDeleted val="0"/>
    <c:plotArea>
      <c:layout/>
      <c:lineChart>
        <c:grouping val="standard"/>
        <c:varyColors val="0"/>
        <c:ser>
          <c:idx val="0"/>
          <c:order val="0"/>
          <c:tx>
            <c:strRef>
              <c:f>'All Rev &amp; Projects'!$C$206</c:f>
              <c:strCache>
                <c:ptCount val="1"/>
                <c:pt idx="0">
                  <c:v>Permanent Fund Projected Balance</c:v>
                </c:pt>
              </c:strCache>
            </c:strRef>
          </c:tx>
          <c:spPr>
            <a:ln w="44450"/>
          </c:spPr>
          <c:marker>
            <c:symbol val="none"/>
          </c:marker>
          <c:cat>
            <c:strRef>
              <c:f>'All Rev &amp; Projects'!$E$201:$T$201</c:f>
              <c:strCache>
                <c:ptCount val="16"/>
                <c:pt idx="0">
                  <c:v>FY 2015</c:v>
                </c:pt>
                <c:pt idx="1">
                  <c:v>FY 2016</c:v>
                </c:pt>
                <c:pt idx="2">
                  <c:v>FY 2017</c:v>
                </c:pt>
                <c:pt idx="3">
                  <c:v>FY 2018</c:v>
                </c:pt>
                <c:pt idx="4">
                  <c:v>FY 2019</c:v>
                </c:pt>
                <c:pt idx="5">
                  <c:v>FY 2020</c:v>
                </c:pt>
                <c:pt idx="6">
                  <c:v>FY 2021</c:v>
                </c:pt>
                <c:pt idx="7">
                  <c:v>FY 2022</c:v>
                </c:pt>
                <c:pt idx="8">
                  <c:v>FY 2023</c:v>
                </c:pt>
                <c:pt idx="9">
                  <c:v>FY 2024</c:v>
                </c:pt>
                <c:pt idx="10">
                  <c:v>FY 2025</c:v>
                </c:pt>
                <c:pt idx="11">
                  <c:v>FY 2026</c:v>
                </c:pt>
                <c:pt idx="12">
                  <c:v>FY 2027</c:v>
                </c:pt>
                <c:pt idx="13">
                  <c:v>FY 2028</c:v>
                </c:pt>
                <c:pt idx="14">
                  <c:v>FY 2029</c:v>
                </c:pt>
                <c:pt idx="15">
                  <c:v>FY 2030</c:v>
                </c:pt>
              </c:strCache>
            </c:strRef>
          </c:cat>
          <c:val>
            <c:numRef>
              <c:f>'All Rev &amp; Projects'!$E$209:$T$209</c:f>
              <c:numCache>
                <c:formatCode>_(* #,##0.0_);_(* \(#,##0.0\);_(* "-"??_);_(@_)</c:formatCode>
                <c:ptCount val="16"/>
                <c:pt idx="0">
                  <c:v>53664.054260000004</c:v>
                </c:pt>
                <c:pt idx="1">
                  <c:v>56388.411371279217</c:v>
                </c:pt>
                <c:pt idx="2">
                  <c:v>59177.370301724928</c:v>
                </c:pt>
                <c:pt idx="3">
                  <c:v>62112.246276567603</c:v>
                </c:pt>
                <c:pt idx="4">
                  <c:v>61866.607883189638</c:v>
                </c:pt>
                <c:pt idx="5">
                  <c:v>61565.521542664414</c:v>
                </c:pt>
                <c:pt idx="6">
                  <c:v>61369.927799789439</c:v>
                </c:pt>
                <c:pt idx="7">
                  <c:v>64100.473708575199</c:v>
                </c:pt>
                <c:pt idx="8">
                  <c:v>67080.99457422788</c:v>
                </c:pt>
                <c:pt idx="9">
                  <c:v>69493.574783590666</c:v>
                </c:pt>
                <c:pt idx="10">
                  <c:v>72320.102145024328</c:v>
                </c:pt>
                <c:pt idx="11">
                  <c:v>75935.261739915004</c:v>
                </c:pt>
                <c:pt idx="12">
                  <c:v>79649.785235879084</c:v>
                </c:pt>
                <c:pt idx="13">
                  <c:v>83495.374516650452</c:v>
                </c:pt>
                <c:pt idx="14">
                  <c:v>87480.488644264304</c:v>
                </c:pt>
                <c:pt idx="15">
                  <c:v>91612.071667913668</c:v>
                </c:pt>
              </c:numCache>
            </c:numRef>
          </c:val>
          <c:smooth val="0"/>
        </c:ser>
        <c:ser>
          <c:idx val="1"/>
          <c:order val="1"/>
          <c:tx>
            <c:strRef>
              <c:f>'All Rev &amp; Projects'!$C$208</c:f>
              <c:strCache>
                <c:ptCount val="1"/>
                <c:pt idx="0">
                  <c:v>Remaining Permanent Fund Spendable Balance</c:v>
                </c:pt>
              </c:strCache>
            </c:strRef>
          </c:tx>
          <c:spPr>
            <a:ln w="44450"/>
          </c:spPr>
          <c:marker>
            <c:symbol val="none"/>
          </c:marker>
          <c:val>
            <c:numRef>
              <c:f>'All Rev &amp; Projects'!$E$231:$T$231</c:f>
              <c:numCache>
                <c:formatCode>_(* #,##0.0_);_(* \(#,##0.0\);_(* "-"??_);_(@_)</c:formatCode>
                <c:ptCount val="16"/>
                <c:pt idx="0">
                  <c:v>6846.2068491700065</c:v>
                </c:pt>
                <c:pt idx="1">
                  <c:v>7353.8578830919969</c:v>
                </c:pt>
                <c:pt idx="2">
                  <c:v>7815.1335015870663</c:v>
                </c:pt>
                <c:pt idx="3">
                  <c:v>8356.302554295793</c:v>
                </c:pt>
                <c:pt idx="4">
                  <c:v>5638.0831576054479</c:v>
                </c:pt>
                <c:pt idx="5">
                  <c:v>2791.3191124181758</c:v>
                </c:pt>
                <c:pt idx="6">
                  <c:v>#N/A</c:v>
                </c:pt>
                <c:pt idx="7">
                  <c:v>#N/A</c:v>
                </c:pt>
                <c:pt idx="8">
                  <c:v>#N/A</c:v>
                </c:pt>
                <c:pt idx="9">
                  <c:v>#N/A</c:v>
                </c:pt>
                <c:pt idx="10">
                  <c:v>#N/A</c:v>
                </c:pt>
                <c:pt idx="11">
                  <c:v>#N/A</c:v>
                </c:pt>
                <c:pt idx="12">
                  <c:v>#N/A</c:v>
                </c:pt>
                <c:pt idx="13">
                  <c:v>#N/A</c:v>
                </c:pt>
                <c:pt idx="14">
                  <c:v>#N/A</c:v>
                </c:pt>
                <c:pt idx="15">
                  <c:v>#N/A</c:v>
                </c:pt>
              </c:numCache>
            </c:numRef>
          </c:val>
          <c:smooth val="0"/>
        </c:ser>
        <c:dLbls>
          <c:showLegendKey val="0"/>
          <c:showVal val="0"/>
          <c:showCatName val="0"/>
          <c:showSerName val="0"/>
          <c:showPercent val="0"/>
          <c:showBubbleSize val="0"/>
        </c:dLbls>
        <c:marker val="1"/>
        <c:smooth val="0"/>
        <c:axId val="100468992"/>
        <c:axId val="100474880"/>
      </c:lineChart>
      <c:catAx>
        <c:axId val="100468992"/>
        <c:scaling>
          <c:orientation val="minMax"/>
        </c:scaling>
        <c:delete val="0"/>
        <c:axPos val="b"/>
        <c:numFmt formatCode="General" sourceLinked="0"/>
        <c:majorTickMark val="out"/>
        <c:minorTickMark val="none"/>
        <c:tickLblPos val="nextTo"/>
        <c:txPr>
          <a:bodyPr rot="-2700000"/>
          <a:lstStyle/>
          <a:p>
            <a:pPr>
              <a:defRPr sz="1400" b="1"/>
            </a:pPr>
            <a:endParaRPr lang="en-US"/>
          </a:p>
        </c:txPr>
        <c:crossAx val="100474880"/>
        <c:crosses val="autoZero"/>
        <c:auto val="1"/>
        <c:lblAlgn val="ctr"/>
        <c:lblOffset val="100"/>
        <c:noMultiLvlLbl val="0"/>
      </c:catAx>
      <c:valAx>
        <c:axId val="100474880"/>
        <c:scaling>
          <c:orientation val="minMax"/>
          <c:max val="100000"/>
          <c:min val="0"/>
        </c:scaling>
        <c:delete val="0"/>
        <c:axPos val="l"/>
        <c:majorGridlines/>
        <c:title>
          <c:tx>
            <c:rich>
              <a:bodyPr rot="-5400000" vert="horz"/>
              <a:lstStyle/>
              <a:p>
                <a:pPr>
                  <a:defRPr sz="1400"/>
                </a:pPr>
                <a:r>
                  <a:rPr lang="en-US" sz="1400"/>
                  <a:t>$ millions</a:t>
                </a:r>
              </a:p>
            </c:rich>
          </c:tx>
          <c:layout/>
          <c:overlay val="0"/>
        </c:title>
        <c:numFmt formatCode="#,##0" sourceLinked="0"/>
        <c:majorTickMark val="out"/>
        <c:minorTickMark val="none"/>
        <c:tickLblPos val="nextTo"/>
        <c:txPr>
          <a:bodyPr/>
          <a:lstStyle/>
          <a:p>
            <a:pPr>
              <a:defRPr sz="1400" b="1"/>
            </a:pPr>
            <a:endParaRPr lang="en-US"/>
          </a:p>
        </c:txPr>
        <c:crossAx val="100468992"/>
        <c:crosses val="autoZero"/>
        <c:crossBetween val="between"/>
      </c:valAx>
    </c:plotArea>
    <c:legend>
      <c:legendPos val="b"/>
      <c:layout>
        <c:manualLayout>
          <c:xMode val="edge"/>
          <c:yMode val="edge"/>
          <c:x val="1.5764618326789277E-2"/>
          <c:y val="0.86366951853114071"/>
          <c:w val="0.95512101320749343"/>
          <c:h val="0.11734794540204115"/>
        </c:manualLayout>
      </c:layout>
      <c:overlay val="0"/>
      <c:txPr>
        <a:bodyPr/>
        <a:lstStyle/>
        <a:p>
          <a:pPr>
            <a:defRPr sz="1100"/>
          </a:pPr>
          <a:endParaRPr lang="en-US"/>
        </a:p>
      </c:txPr>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Individual PFD Values</a:t>
            </a:r>
          </a:p>
        </c:rich>
      </c:tx>
      <c:layout/>
      <c:overlay val="0"/>
    </c:title>
    <c:autoTitleDeleted val="0"/>
    <c:plotArea>
      <c:layout/>
      <c:lineChart>
        <c:grouping val="standard"/>
        <c:varyColors val="0"/>
        <c:ser>
          <c:idx val="0"/>
          <c:order val="0"/>
          <c:spPr>
            <a:ln w="44450"/>
          </c:spPr>
          <c:marker>
            <c:symbol val="none"/>
          </c:marker>
          <c:cat>
            <c:numRef>
              <c:f>'PFD  Limits &amp; SB 114'!$P$22:$P$37</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f>'PFD  Limits &amp; SB 114'!$Q$22:$Q$37</c:f>
              <c:numCache>
                <c:formatCode>General</c:formatCode>
                <c:ptCount val="16"/>
                <c:pt idx="0">
                  <c:v>1900</c:v>
                </c:pt>
                <c:pt idx="1">
                  <c:v>1950</c:v>
                </c:pt>
                <c:pt idx="2">
                  <c:v>2100</c:v>
                </c:pt>
                <c:pt idx="3">
                  <c:v>2100</c:v>
                </c:pt>
                <c:pt idx="4">
                  <c:v>2000</c:v>
                </c:pt>
                <c:pt idx="5">
                  <c:v>2150</c:v>
                </c:pt>
                <c:pt idx="6">
                  <c:v>2250</c:v>
                </c:pt>
                <c:pt idx="7">
                  <c:v>2300</c:v>
                </c:pt>
                <c:pt idx="8">
                  <c:v>2400</c:v>
                </c:pt>
                <c:pt idx="9">
                  <c:v>2500</c:v>
                </c:pt>
                <c:pt idx="10">
                  <c:v>2600</c:v>
                </c:pt>
                <c:pt idx="11">
                  <c:v>2750</c:v>
                </c:pt>
                <c:pt idx="12">
                  <c:v>2850</c:v>
                </c:pt>
                <c:pt idx="13">
                  <c:v>2950</c:v>
                </c:pt>
                <c:pt idx="14">
                  <c:v>3050</c:v>
                </c:pt>
                <c:pt idx="15">
                  <c:v>3200</c:v>
                </c:pt>
              </c:numCache>
            </c:numRef>
          </c:val>
          <c:smooth val="0"/>
        </c:ser>
        <c:dLbls>
          <c:showLegendKey val="0"/>
          <c:showVal val="0"/>
          <c:showCatName val="0"/>
          <c:showSerName val="0"/>
          <c:showPercent val="0"/>
          <c:showBubbleSize val="0"/>
        </c:dLbls>
        <c:marker val="1"/>
        <c:smooth val="0"/>
        <c:axId val="100487552"/>
        <c:axId val="100489088"/>
      </c:lineChart>
      <c:catAx>
        <c:axId val="100487552"/>
        <c:scaling>
          <c:orientation val="minMax"/>
        </c:scaling>
        <c:delete val="0"/>
        <c:axPos val="b"/>
        <c:numFmt formatCode="General" sourceLinked="1"/>
        <c:majorTickMark val="out"/>
        <c:minorTickMark val="none"/>
        <c:tickLblPos val="nextTo"/>
        <c:txPr>
          <a:bodyPr/>
          <a:lstStyle/>
          <a:p>
            <a:pPr>
              <a:defRPr sz="1400"/>
            </a:pPr>
            <a:endParaRPr lang="en-US"/>
          </a:p>
        </c:txPr>
        <c:crossAx val="100489088"/>
        <c:crosses val="autoZero"/>
        <c:auto val="1"/>
        <c:lblAlgn val="ctr"/>
        <c:lblOffset val="100"/>
        <c:noMultiLvlLbl val="0"/>
      </c:catAx>
      <c:valAx>
        <c:axId val="100489088"/>
        <c:scaling>
          <c:orientation val="minMax"/>
          <c:max val="4000"/>
          <c:min val="0"/>
        </c:scaling>
        <c:delete val="0"/>
        <c:axPos val="l"/>
        <c:majorGridlines/>
        <c:numFmt formatCode="#,##0" sourceLinked="0"/>
        <c:majorTickMark val="out"/>
        <c:minorTickMark val="none"/>
        <c:tickLblPos val="nextTo"/>
        <c:crossAx val="100487552"/>
        <c:crosses val="autoZero"/>
        <c:crossBetween val="between"/>
      </c:valAx>
    </c:plotArea>
    <c:plotVisOnly val="1"/>
    <c:dispBlanksAs val="gap"/>
    <c:showDLblsOverMax val="0"/>
  </c:chart>
  <c:txPr>
    <a:bodyPr/>
    <a:lstStyle/>
    <a:p>
      <a:pPr>
        <a:defRPr sz="1200" b="1"/>
      </a:pPr>
      <a:endParaRPr lang="en-US"/>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Budget &amp;</a:t>
            </a:r>
            <a:r>
              <a:rPr lang="en-US" baseline="0"/>
              <a:t> Revenue Adjustments</a:t>
            </a:r>
            <a:endParaRPr lang="en-US"/>
          </a:p>
        </c:rich>
      </c:tx>
      <c:layout/>
      <c:overlay val="0"/>
    </c:title>
    <c:autoTitleDeleted val="0"/>
    <c:plotArea>
      <c:layout/>
      <c:barChart>
        <c:barDir val="col"/>
        <c:grouping val="clustered"/>
        <c:varyColors val="0"/>
        <c:ser>
          <c:idx val="0"/>
          <c:order val="0"/>
          <c:tx>
            <c:strRef>
              <c:f>'All Rev &amp; Projects'!$D$235</c:f>
              <c:strCache>
                <c:ptCount val="1"/>
                <c:pt idx="0">
                  <c:v>Revenue</c:v>
                </c:pt>
              </c:strCache>
            </c:strRef>
          </c:tx>
          <c:invertIfNegative val="0"/>
          <c:cat>
            <c:numRef>
              <c:f>'PFD  Limits &amp; SB 114'!$P$22:$P$37</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f>'All Rev &amp; Projects'!$F$235:$T$235</c:f>
              <c:numCache>
                <c:formatCode>_(* #,##0.00_);_(* \(#,##0.00\);_(*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1"/>
          <c:order val="1"/>
          <c:tx>
            <c:strRef>
              <c:f>'All Rev &amp; Projects'!$D$238</c:f>
              <c:strCache>
                <c:ptCount val="1"/>
                <c:pt idx="0">
                  <c:v>Budget</c:v>
                </c:pt>
              </c:strCache>
            </c:strRef>
          </c:tx>
          <c:invertIfNegative val="0"/>
          <c:val>
            <c:numRef>
              <c:f>'All Rev &amp; Projects'!$F$239:$T$239</c:f>
              <c:numCache>
                <c:formatCode>_(* #,##0.00_);_(* \(#,##0.00\);_(* "-"??_);_(@_)</c:formatCode>
                <c:ptCount val="15"/>
                <c:pt idx="0">
                  <c:v>0</c:v>
                </c:pt>
                <c:pt idx="1">
                  <c:v>20</c:v>
                </c:pt>
                <c:pt idx="2">
                  <c:v>21</c:v>
                </c:pt>
                <c:pt idx="3">
                  <c:v>21</c:v>
                </c:pt>
                <c:pt idx="4">
                  <c:v>22</c:v>
                </c:pt>
                <c:pt idx="5">
                  <c:v>22</c:v>
                </c:pt>
                <c:pt idx="6">
                  <c:v>23</c:v>
                </c:pt>
                <c:pt idx="7">
                  <c:v>23</c:v>
                </c:pt>
                <c:pt idx="8">
                  <c:v>24</c:v>
                </c:pt>
                <c:pt idx="9">
                  <c:v>24</c:v>
                </c:pt>
                <c:pt idx="10">
                  <c:v>25</c:v>
                </c:pt>
                <c:pt idx="11">
                  <c:v>25</c:v>
                </c:pt>
                <c:pt idx="12">
                  <c:v>26</c:v>
                </c:pt>
                <c:pt idx="13">
                  <c:v>27</c:v>
                </c:pt>
                <c:pt idx="14">
                  <c:v>27</c:v>
                </c:pt>
              </c:numCache>
            </c:numRef>
          </c:val>
        </c:ser>
        <c:dLbls>
          <c:showLegendKey val="0"/>
          <c:showVal val="0"/>
          <c:showCatName val="0"/>
          <c:showSerName val="0"/>
          <c:showPercent val="0"/>
          <c:showBubbleSize val="0"/>
        </c:dLbls>
        <c:gapWidth val="150"/>
        <c:axId val="101007360"/>
        <c:axId val="101008896"/>
      </c:barChart>
      <c:catAx>
        <c:axId val="101007360"/>
        <c:scaling>
          <c:orientation val="minMax"/>
        </c:scaling>
        <c:delete val="0"/>
        <c:axPos val="b"/>
        <c:numFmt formatCode="General" sourceLinked="1"/>
        <c:majorTickMark val="out"/>
        <c:minorTickMark val="none"/>
        <c:tickLblPos val="low"/>
        <c:txPr>
          <a:bodyPr/>
          <a:lstStyle/>
          <a:p>
            <a:pPr>
              <a:defRPr sz="1000"/>
            </a:pPr>
            <a:endParaRPr lang="en-US"/>
          </a:p>
        </c:txPr>
        <c:crossAx val="101008896"/>
        <c:crosses val="autoZero"/>
        <c:auto val="1"/>
        <c:lblAlgn val="ctr"/>
        <c:lblOffset val="100"/>
        <c:tickLblSkip val="1"/>
        <c:noMultiLvlLbl val="0"/>
      </c:catAx>
      <c:valAx>
        <c:axId val="101008896"/>
        <c:scaling>
          <c:orientation val="minMax"/>
          <c:max val="4000"/>
          <c:min val="-4000"/>
        </c:scaling>
        <c:delete val="0"/>
        <c:axPos val="l"/>
        <c:majorGridlines/>
        <c:numFmt formatCode="#,##0" sourceLinked="0"/>
        <c:majorTickMark val="out"/>
        <c:minorTickMark val="none"/>
        <c:tickLblPos val="low"/>
        <c:crossAx val="101007360"/>
        <c:crosses val="autoZero"/>
        <c:crossBetween val="between"/>
      </c:valAx>
      <c:dTable>
        <c:showHorzBorder val="1"/>
        <c:showVertBorder val="1"/>
        <c:showOutline val="1"/>
        <c:showKeys val="0"/>
        <c:txPr>
          <a:bodyPr/>
          <a:lstStyle/>
          <a:p>
            <a:pPr rtl="0">
              <a:defRPr sz="900" b="0"/>
            </a:pPr>
            <a:endParaRPr lang="en-US"/>
          </a:p>
        </c:txPr>
      </c:dTable>
    </c:plotArea>
    <c:legend>
      <c:legendPos val="b"/>
      <c:layout/>
      <c:overlay val="0"/>
    </c:legend>
    <c:plotVisOnly val="1"/>
    <c:dispBlanksAs val="gap"/>
    <c:showDLblsOverMax val="0"/>
  </c:chart>
  <c:txPr>
    <a:bodyPr/>
    <a:lstStyle/>
    <a:p>
      <a:pPr>
        <a:defRPr sz="1200" b="1"/>
      </a:pPr>
      <a:endParaRPr lang="en-US"/>
    </a:p>
  </c:txPr>
  <c:printSettings>
    <c:headerFooter/>
    <c:pageMargins b="0.75000000000000022" l="0.70000000000000018" r="0.70000000000000018" t="0.75000000000000022" header="0.3000000000000001" footer="0.3000000000000001"/>
    <c:pageSetup/>
  </c:printSettings>
</c:chartSpace>
</file>

<file path=xl/ctrlProps/ctrlProp1.xml><?xml version="1.0" encoding="utf-8"?>
<formControlPr xmlns="http://schemas.microsoft.com/office/spreadsheetml/2009/9/main" objectType="CheckBox" fmlaLink="'All Rev &amp; Projects'!$A$13" lockText="1" noThreeD="1"/>
</file>

<file path=xl/ctrlProps/ctrlProp10.xml><?xml version="1.0" encoding="utf-8"?>
<formControlPr xmlns="http://schemas.microsoft.com/office/spreadsheetml/2009/9/main" objectType="CheckBox" fmlaLink="'All Rev &amp; Projects'!$A$72" lockText="1" noThreeD="1"/>
</file>

<file path=xl/ctrlProps/ctrlProp100.xml><?xml version="1.0" encoding="utf-8"?>
<formControlPr xmlns="http://schemas.microsoft.com/office/spreadsheetml/2009/9/main" objectType="Drop" dropLines="5" dropStyle="combo" dx="16" fmlaLink="'All Rev &amp; Projects'!$A$117" fmlaRange="$B$155:$B$159" noThreeD="1" val="0"/>
</file>

<file path=xl/ctrlProps/ctrlProp101.xml><?xml version="1.0" encoding="utf-8"?>
<formControlPr xmlns="http://schemas.microsoft.com/office/spreadsheetml/2009/9/main" objectType="CheckBox" fmlaLink="'All Rev &amp; Projects'!$A$158" lockText="1" noThreeD="1"/>
</file>

<file path=xl/ctrlProps/ctrlProp102.xml><?xml version="1.0" encoding="utf-8"?>
<formControlPr xmlns="http://schemas.microsoft.com/office/spreadsheetml/2009/9/main" objectType="Drop" dropLines="5" dropStyle="combo" dx="16" fmlaLink="'All Rev &amp; Projects'!$A$159" fmlaRange="$B$155:$B$174" noThreeD="1" val="0"/>
</file>

<file path=xl/ctrlProps/ctrlProp103.xml><?xml version="1.0" encoding="utf-8"?>
<formControlPr xmlns="http://schemas.microsoft.com/office/spreadsheetml/2009/9/main" objectType="CheckBox" fmlaLink="'All Rev &amp; Projects'!$A$160" lockText="1" noThreeD="1"/>
</file>

<file path=xl/ctrlProps/ctrlProp104.xml><?xml version="1.0" encoding="utf-8"?>
<formControlPr xmlns="http://schemas.microsoft.com/office/spreadsheetml/2009/9/main" objectType="Drop" dropLines="5" dropStyle="combo" dx="16" fmlaLink="'All Rev &amp; Projects'!$A$161" fmlaRange="$D$153:$D$162" noThreeD="1" val="0"/>
</file>

<file path=xl/ctrlProps/ctrlProp105.xml><?xml version="1.0" encoding="utf-8"?>
<formControlPr xmlns="http://schemas.microsoft.com/office/spreadsheetml/2009/9/main" objectType="CheckBox" fmlaLink="'All Rev &amp; Projects'!$A$162" lockText="1" noThreeD="1"/>
</file>

<file path=xl/ctrlProps/ctrlProp106.xml><?xml version="1.0" encoding="utf-8"?>
<formControlPr xmlns="http://schemas.microsoft.com/office/spreadsheetml/2009/9/main" objectType="Drop" dropLines="5" dropStyle="combo" dx="16" fmlaLink="'All Rev &amp; Projects'!$A$163" fmlaRange="$B$155:$B$164" noThreeD="1" val="0"/>
</file>

<file path=xl/ctrlProps/ctrlProp107.xml><?xml version="1.0" encoding="utf-8"?>
<formControlPr xmlns="http://schemas.microsoft.com/office/spreadsheetml/2009/9/main" objectType="CheckBox" fmlaLink="'All Rev &amp; Projects'!$A$165" lockText="1" noThreeD="1"/>
</file>

<file path=xl/ctrlProps/ctrlProp108.xml><?xml version="1.0" encoding="utf-8"?>
<formControlPr xmlns="http://schemas.microsoft.com/office/spreadsheetml/2009/9/main" objectType="Drop" dropLines="5" dropStyle="combo" dx="16" fmlaLink="'All Rev &amp; Projects'!$A$166" fmlaRange="Tobacco!$D$22:$D$26" noThreeD="1" val="0"/>
</file>

<file path=xl/ctrlProps/ctrlProp109.xml><?xml version="1.0" encoding="utf-8"?>
<formControlPr xmlns="http://schemas.microsoft.com/office/spreadsheetml/2009/9/main" objectType="CheckBox" fmlaLink="'All Rev &amp; Projects'!$A$194" lockText="1" noThreeD="1"/>
</file>

<file path=xl/ctrlProps/ctrlProp11.xml><?xml version="1.0" encoding="utf-8"?>
<formControlPr xmlns="http://schemas.microsoft.com/office/spreadsheetml/2009/9/main" objectType="CheckBox" fmlaLink="'All Rev &amp; Projects'!$A$74" lockText="1" noThreeD="1"/>
</file>

<file path=xl/ctrlProps/ctrlProp110.xml><?xml version="1.0" encoding="utf-8"?>
<formControlPr xmlns="http://schemas.microsoft.com/office/spreadsheetml/2009/9/main" objectType="CheckBox" fmlaLink="'All Rev &amp; Projects'!$A$195" lockText="1" noThreeD="1"/>
</file>

<file path=xl/ctrlProps/ctrlProp111.xml><?xml version="1.0" encoding="utf-8"?>
<formControlPr xmlns="http://schemas.microsoft.com/office/spreadsheetml/2009/9/main" objectType="CheckBox" fmlaLink="'All Rev &amp; Projects'!$A$73" lockText="1" noThreeD="1"/>
</file>

<file path=xl/ctrlProps/ctrlProp112.xml><?xml version="1.0" encoding="utf-8"?>
<formControlPr xmlns="http://schemas.microsoft.com/office/spreadsheetml/2009/9/main" objectType="CheckBox" fmlaLink="'All Rev &amp; Projects'!$A$164" lockText="1" noThreeD="1"/>
</file>

<file path=xl/ctrlProps/ctrlProp113.xml><?xml version="1.0" encoding="utf-8"?>
<formControlPr xmlns="http://schemas.microsoft.com/office/spreadsheetml/2009/9/main" objectType="CheckBox" fmlaLink="'All Rev &amp; Projects'!$A$60" lockText="1" noThreeD="1"/>
</file>

<file path=xl/ctrlProps/ctrlProp114.xml><?xml version="1.0" encoding="utf-8"?>
<formControlPr xmlns="http://schemas.microsoft.com/office/spreadsheetml/2009/9/main" objectType="CheckBox" fmlaLink="'All Rev &amp; Projects'!$A$107" lockText="1" noThreeD="1"/>
</file>

<file path=xl/ctrlProps/ctrlProp115.xml><?xml version="1.0" encoding="utf-8"?>
<formControlPr xmlns="http://schemas.microsoft.com/office/spreadsheetml/2009/9/main" objectType="Drop" dropLines="41" dropStyle="combo" dx="16" fmlaLink="$F$41" fmlaRange="'Budget Sensitivity'!$L$63:$L$103" noThreeD="1" sel="31" val="0"/>
</file>

<file path=xl/ctrlProps/ctrlProp12.xml><?xml version="1.0" encoding="utf-8"?>
<formControlPr xmlns="http://schemas.microsoft.com/office/spreadsheetml/2009/9/main" objectType="CheckBox" fmlaLink="'All Rev &amp; Projects'!$A$79" lockText="1" noThreeD="1"/>
</file>

<file path=xl/ctrlProps/ctrlProp13.xml><?xml version="1.0" encoding="utf-8"?>
<formControlPr xmlns="http://schemas.microsoft.com/office/spreadsheetml/2009/9/main" objectType="CheckBox" fmlaLink="'All Rev &amp; Projects'!$A$80" lockText="1" noThreeD="1"/>
</file>

<file path=xl/ctrlProps/ctrlProp14.xml><?xml version="1.0" encoding="utf-8"?>
<formControlPr xmlns="http://schemas.microsoft.com/office/spreadsheetml/2009/9/main" objectType="CheckBox" fmlaLink="'All Rev &amp; Projects'!$A$91" lockText="1" noThreeD="1"/>
</file>

<file path=xl/ctrlProps/ctrlProp15.xml><?xml version="1.0" encoding="utf-8"?>
<formControlPr xmlns="http://schemas.microsoft.com/office/spreadsheetml/2009/9/main" objectType="CheckBox" fmlaLink="'All Rev &amp; Projects'!$A$95" lockText="1" noThreeD="1"/>
</file>

<file path=xl/ctrlProps/ctrlProp16.xml><?xml version="1.0" encoding="utf-8"?>
<formControlPr xmlns="http://schemas.microsoft.com/office/spreadsheetml/2009/9/main" objectType="CheckBox" fmlaLink="'All Rev &amp; Projects'!#REF!" lockText="1" noThreeD="1"/>
</file>

<file path=xl/ctrlProps/ctrlProp17.xml><?xml version="1.0" encoding="utf-8"?>
<formControlPr xmlns="http://schemas.microsoft.com/office/spreadsheetml/2009/9/main" objectType="CheckBox" fmlaLink="'All Rev &amp; Projects'!$A$109" lockText="1" noThreeD="1"/>
</file>

<file path=xl/ctrlProps/ctrlProp18.xml><?xml version="1.0" encoding="utf-8"?>
<formControlPr xmlns="http://schemas.microsoft.com/office/spreadsheetml/2009/9/main" objectType="CheckBox" fmlaLink="'All Rev &amp; Projects'!$A$113" lockText="1" noThreeD="1"/>
</file>

<file path=xl/ctrlProps/ctrlProp19.xml><?xml version="1.0" encoding="utf-8"?>
<formControlPr xmlns="http://schemas.microsoft.com/office/spreadsheetml/2009/9/main" objectType="CheckBox" fmlaLink="'All Rev &amp; Projects'!$A$123" lockText="1" noThreeD="1"/>
</file>

<file path=xl/ctrlProps/ctrlProp2.xml><?xml version="1.0" encoding="utf-8"?>
<formControlPr xmlns="http://schemas.microsoft.com/office/spreadsheetml/2009/9/main" objectType="CheckBox" fmlaLink="'All Rev &amp; Projects'!$A$29" lockText="1" noThreeD="1"/>
</file>

<file path=xl/ctrlProps/ctrlProp20.xml><?xml version="1.0" encoding="utf-8"?>
<formControlPr xmlns="http://schemas.microsoft.com/office/spreadsheetml/2009/9/main" objectType="CheckBox" fmlaLink="'All Rev &amp; Projects'!$A$125" lockText="1" noThreeD="1"/>
</file>

<file path=xl/ctrlProps/ctrlProp21.xml><?xml version="1.0" encoding="utf-8"?>
<formControlPr xmlns="http://schemas.microsoft.com/office/spreadsheetml/2009/9/main" objectType="CheckBox" fmlaLink="'All Rev &amp; Projects'!$A$127" lockText="1" noThreeD="1"/>
</file>

<file path=xl/ctrlProps/ctrlProp22.xml><?xml version="1.0" encoding="utf-8"?>
<formControlPr xmlns="http://schemas.microsoft.com/office/spreadsheetml/2009/9/main" objectType="CheckBox" fmlaLink="'All Rev &amp; Projects'!$A$130" lockText="1" noThreeD="1"/>
</file>

<file path=xl/ctrlProps/ctrlProp23.xml><?xml version="1.0" encoding="utf-8"?>
<formControlPr xmlns="http://schemas.microsoft.com/office/spreadsheetml/2009/9/main" objectType="CheckBox" fmlaLink="'All Rev &amp; Projects'!$A$139" lockText="1" noThreeD="1"/>
</file>

<file path=xl/ctrlProps/ctrlProp24.xml><?xml version="1.0" encoding="utf-8"?>
<formControlPr xmlns="http://schemas.microsoft.com/office/spreadsheetml/2009/9/main" objectType="CheckBox" fmlaLink="'All Rev &amp; Projects'!$A$146" lockText="1" noThreeD="1"/>
</file>

<file path=xl/ctrlProps/ctrlProp25.xml><?xml version="1.0" encoding="utf-8"?>
<formControlPr xmlns="http://schemas.microsoft.com/office/spreadsheetml/2009/9/main" objectType="CheckBox" fmlaLink="'All Rev &amp; Projects'!$A$150" lockText="1" noThreeD="1"/>
</file>

<file path=xl/ctrlProps/ctrlProp26.xml><?xml version="1.0" encoding="utf-8"?>
<formControlPr xmlns="http://schemas.microsoft.com/office/spreadsheetml/2009/9/main" objectType="CheckBox" fmlaLink="'All Rev &amp; Projects'!$A$154" lockText="1" noThreeD="1"/>
</file>

<file path=xl/ctrlProps/ctrlProp27.xml><?xml version="1.0" encoding="utf-8"?>
<formControlPr xmlns="http://schemas.microsoft.com/office/spreadsheetml/2009/9/main" objectType="CheckBox" fmlaLink="'All Rev &amp; Projects'!$A$188" lockText="1" noThreeD="1"/>
</file>

<file path=xl/ctrlProps/ctrlProp28.xml><?xml version="1.0" encoding="utf-8"?>
<formControlPr xmlns="http://schemas.microsoft.com/office/spreadsheetml/2009/9/main" objectType="CheckBox" fmlaLink="'All Rev &amp; Projects'!$A$189:$A$189" lockText="1" noThreeD="1"/>
</file>

<file path=xl/ctrlProps/ctrlProp29.xml><?xml version="1.0" encoding="utf-8"?>
<formControlPr xmlns="http://schemas.microsoft.com/office/spreadsheetml/2009/9/main" objectType="CheckBox" fmlaLink="'All Rev &amp; Projects'!$A$191" lockText="1" noThreeD="1"/>
</file>

<file path=xl/ctrlProps/ctrlProp3.xml><?xml version="1.0" encoding="utf-8"?>
<formControlPr xmlns="http://schemas.microsoft.com/office/spreadsheetml/2009/9/main" objectType="CheckBox" fmlaLink="'All Rev &amp; Projects'!$A$33" lockText="1" noThreeD="1"/>
</file>

<file path=xl/ctrlProps/ctrlProp30.xml><?xml version="1.0" encoding="utf-8"?>
<formControlPr xmlns="http://schemas.microsoft.com/office/spreadsheetml/2009/9/main" objectType="Radio" checked="Checked" firstButton="1" fmlaLink="'All Rev &amp; Projects'!$A$15"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CheckBox" fmlaLink="'All Rev &amp; Projects'!$A$56" lockText="1" noThreeD="1"/>
</file>

<file path=xl/ctrlProps/ctrlProp33.xml><?xml version="1.0" encoding="utf-8"?>
<formControlPr xmlns="http://schemas.microsoft.com/office/spreadsheetml/2009/9/main" objectType="Drop" dropLines="5" dropStyle="combo" dx="16" fmlaLink="'All Rev &amp; Projects'!$A$114" fmlaRange="Graphs!$B$155:$B$174" noThreeD="1" val="0"/>
</file>

<file path=xl/ctrlProps/ctrlProp34.xml><?xml version="1.0" encoding="utf-8"?>
<formControlPr xmlns="http://schemas.microsoft.com/office/spreadsheetml/2009/9/main" objectType="Drop" dropLines="5" dropStyle="combo" dx="16" fmlaLink="'All Rev &amp; Projects'!#REF!" fmlaRange="$C$155:$C$159" noThreeD="1" sel="0" val="0"/>
</file>

<file path=xl/ctrlProps/ctrlProp35.xml><?xml version="1.0" encoding="utf-8"?>
<formControlPr xmlns="http://schemas.microsoft.com/office/spreadsheetml/2009/9/main" objectType="Drop" dropLines="5" dropStyle="combo" dx="16" fmlaLink="'All Rev &amp; Projects'!$A$110" fmlaRange="'Sales Tax'!$A$2:$A$6" noThreeD="1" val="0"/>
</file>

<file path=xl/ctrlProps/ctrlProp36.xml><?xml version="1.0" encoding="utf-8"?>
<formControlPr xmlns="http://schemas.microsoft.com/office/spreadsheetml/2009/9/main" objectType="Drop" dropLines="6" dropStyle="combo" dx="16" fmlaLink="'All Rev &amp; Projects'!$A$147" fmlaRange="'Property Tax'!$B$2:$B$7" noThreeD="1" val="0"/>
</file>

<file path=xl/ctrlProps/ctrlProp37.xml><?xml version="1.0" encoding="utf-8"?>
<formControlPr xmlns="http://schemas.microsoft.com/office/spreadsheetml/2009/9/main" objectType="Drop" dropLines="5" dropStyle="combo" dx="16" fmlaLink="'All Rev &amp; Projects'!$A$126" fmlaRange="Gaming!$A$2:$A$6" noThreeD="1" val="0"/>
</file>

<file path=xl/ctrlProps/ctrlProp38.xml><?xml version="1.0" encoding="utf-8"?>
<formControlPr xmlns="http://schemas.microsoft.com/office/spreadsheetml/2009/9/main" objectType="Drop" dropLines="3" dropStyle="combo" dx="16" fmlaLink="'All Rev &amp; Projects'!$A$140" fmlaRange="'School Tax'!$A$3:$A$5" noThreeD="1" val="0"/>
</file>

<file path=xl/ctrlProps/ctrlProp39.xml><?xml version="1.0" encoding="utf-8"?>
<formControlPr xmlns="http://schemas.microsoft.com/office/spreadsheetml/2009/9/main" objectType="CheckBox" fmlaLink="'All Rev &amp; Projects'!$A$36" lockText="1" noThreeD="1"/>
</file>

<file path=xl/ctrlProps/ctrlProp4.xml><?xml version="1.0" encoding="utf-8"?>
<formControlPr xmlns="http://schemas.microsoft.com/office/spreadsheetml/2009/9/main" objectType="CheckBox" fmlaLink="'All Rev &amp; Projects'!$A$38" lockText="1" noThreeD="1"/>
</file>

<file path=xl/ctrlProps/ctrlProp40.xml><?xml version="1.0" encoding="utf-8"?>
<formControlPr xmlns="http://schemas.microsoft.com/office/spreadsheetml/2009/9/main" objectType="Drop" dropLines="5" dropStyle="combo" dx="16" fmlaLink="'All Rev &amp; Projects'!$A$37" fmlaRange="$B$154:$B$174" noThreeD="1" sel="8" val="7"/>
</file>

<file path=xl/ctrlProps/ctrlProp41.xml><?xml version="1.0" encoding="utf-8"?>
<formControlPr xmlns="http://schemas.microsoft.com/office/spreadsheetml/2009/9/main" objectType="Drop" dropLines="5" dropStyle="combo" dx="16" fmlaLink="'All Rev &amp; Projects'!$A$41" fmlaRange="$C$159:$C$174" noThreeD="1" val="0"/>
</file>

<file path=xl/ctrlProps/ctrlProp42.xml><?xml version="1.0" encoding="utf-8"?>
<formControlPr xmlns="http://schemas.microsoft.com/office/spreadsheetml/2009/9/main" objectType="CheckBox" fmlaLink="'All Rev &amp; Projects'!$A$48" lockText="1" noThreeD="1"/>
</file>

<file path=xl/ctrlProps/ctrlProp43.xml><?xml version="1.0" encoding="utf-8"?>
<formControlPr xmlns="http://schemas.microsoft.com/office/spreadsheetml/2009/9/main" objectType="CheckBox" fmlaLink="'All Rev &amp; Projects'!$A$99" lockText="1" noThreeD="1"/>
</file>

<file path=xl/ctrlProps/ctrlProp44.xml><?xml version="1.0" encoding="utf-8"?>
<formControlPr xmlns="http://schemas.microsoft.com/office/spreadsheetml/2009/9/main" objectType="Drop" dropLines="5" dropStyle="combo" dx="16" fmlaLink="'All Rev &amp; Projects'!$A$100" fmlaRange="Graphs!$C$155:$C$159" noThreeD="1" val="0"/>
</file>

<file path=xl/ctrlProps/ctrlProp45.xml><?xml version="1.0" encoding="utf-8"?>
<formControlPr xmlns="http://schemas.microsoft.com/office/spreadsheetml/2009/9/main" objectType="CheckBox" fmlaLink="'All Rev &amp; Projects'!$A$103" lockText="1" noThreeD="1"/>
</file>

<file path=xl/ctrlProps/ctrlProp46.xml><?xml version="1.0" encoding="utf-8"?>
<formControlPr xmlns="http://schemas.microsoft.com/office/spreadsheetml/2009/9/main" objectType="Drop" dropLines="5" dropStyle="combo" dx="16" fmlaLink="'All Rev &amp; Projects'!$A$104" fmlaRange="Graphs!$D$153:$D$157" noThreeD="1" val="0"/>
</file>

<file path=xl/ctrlProps/ctrlProp47.xml><?xml version="1.0" encoding="utf-8"?>
<formControlPr xmlns="http://schemas.microsoft.com/office/spreadsheetml/2009/9/main" objectType="CheckBox" fmlaLink="'All Rev &amp; Projects'!$A$134" lockText="1" noThreeD="1"/>
</file>

<file path=xl/ctrlProps/ctrlProp48.xml><?xml version="1.0" encoding="utf-8"?>
<formControlPr xmlns="http://schemas.microsoft.com/office/spreadsheetml/2009/9/main" objectType="Drop" dropLines="5" dropStyle="combo" dx="16" fmlaLink="'All Rev &amp; Projects'!$A$135" fmlaRange="Graphs!$C$155:$C$159" noThreeD="1" val="0"/>
</file>

<file path=xl/ctrlProps/ctrlProp49.xml><?xml version="1.0" encoding="utf-8"?>
<formControlPr xmlns="http://schemas.microsoft.com/office/spreadsheetml/2009/9/main" objectType="CheckBox" fmlaLink="'All Rev &amp; Projects'!$A$136" lockText="1" noThreeD="1"/>
</file>

<file path=xl/ctrlProps/ctrlProp5.xml><?xml version="1.0" encoding="utf-8"?>
<formControlPr xmlns="http://schemas.microsoft.com/office/spreadsheetml/2009/9/main" objectType="CheckBox" fmlaLink="'All Rev &amp; Projects'!$A$40" lockText="1" noThreeD="1"/>
</file>

<file path=xl/ctrlProps/ctrlProp50.xml><?xml version="1.0" encoding="utf-8"?>
<formControlPr xmlns="http://schemas.microsoft.com/office/spreadsheetml/2009/9/main" objectType="Drop" dropLines="10" dropStyle="combo" dx="16" fmlaLink="'All Rev &amp; Projects'!$A$16" fmlaRange="$B$154:$B$174" noThreeD="1" val="0"/>
</file>

<file path=xl/ctrlProps/ctrlProp51.xml><?xml version="1.0" encoding="utf-8"?>
<formControlPr xmlns="http://schemas.microsoft.com/office/spreadsheetml/2009/9/main" objectType="Drop" dropLines="5" dropStyle="combo" dx="16" fmlaLink="'All Rev &amp; Projects'!$A$96" fmlaRange="$D$153:$D$177" noThreeD="1" val="0"/>
</file>

<file path=xl/ctrlProps/ctrlProp52.xml><?xml version="1.0" encoding="utf-8"?>
<formControlPr xmlns="http://schemas.microsoft.com/office/spreadsheetml/2009/9/main" objectType="Drop" dropLines="5" dropStyle="combo" dx="16" fmlaLink="'All Rev &amp; Projects'!$A$190" fmlaRange="$B$164:$B$174" noThreeD="1" val="0"/>
</file>

<file path=xl/ctrlProps/ctrlProp53.xml><?xml version="1.0" encoding="utf-8"?>
<formControlPr xmlns="http://schemas.microsoft.com/office/spreadsheetml/2009/9/main" objectType="Drop" dropLines="5" dropStyle="combo" dx="16" fmlaLink="'All Rev &amp; Projects'!$A$27" fmlaRange="$B$155:$B$158" noThreeD="1" sel="4" val="0"/>
</file>

<file path=xl/ctrlProps/ctrlProp54.xml><?xml version="1.0" encoding="utf-8"?>
<formControlPr xmlns="http://schemas.microsoft.com/office/spreadsheetml/2009/9/main" objectType="Drop" dropLines="5" dropStyle="combo" dx="16" fmlaLink="'All Rev &amp; Projects'!$A$23" fmlaRange="$G$155:$G$157" noThreeD="1" val="0"/>
</file>

<file path=xl/ctrlProps/ctrlProp55.xml><?xml version="1.0" encoding="utf-8"?>
<formControlPr xmlns="http://schemas.microsoft.com/office/spreadsheetml/2009/9/main" objectType="Drop" dropLines="5" dropStyle="combo" dx="16" fmlaLink="'All Rev &amp; Projects'!$A$228" fmlaRange="'Petroleum - Non CIT'!$A$6:$A$17" noThreeD="1" sel="5" val="0"/>
</file>

<file path=xl/ctrlProps/ctrlProp56.xml><?xml version="1.0" encoding="utf-8"?>
<formControlPr xmlns="http://schemas.microsoft.com/office/spreadsheetml/2009/9/main" objectType="CheckBox" fmlaLink="'All Rev &amp; Projects'!$A$169" lockText="1" noThreeD="1"/>
</file>

<file path=xl/ctrlProps/ctrlProp57.xml><?xml version="1.0" encoding="utf-8"?>
<formControlPr xmlns="http://schemas.microsoft.com/office/spreadsheetml/2009/9/main" objectType="CheckBox" fmlaLink="'All Rev &amp; Projects'!$A$124" lockText="1" noThreeD="1"/>
</file>

<file path=xl/ctrlProps/ctrlProp58.xml><?xml version="1.0" encoding="utf-8"?>
<formControlPr xmlns="http://schemas.microsoft.com/office/spreadsheetml/2009/9/main" objectType="CheckBox" fmlaLink="'All Rev &amp; Projects'!$A$119" lockText="1" noThreeD="1"/>
</file>

<file path=xl/ctrlProps/ctrlProp59.xml><?xml version="1.0" encoding="utf-8"?>
<formControlPr xmlns="http://schemas.microsoft.com/office/spreadsheetml/2009/9/main" objectType="Drop" dropLines="5" dropStyle="combo" dx="16" fmlaLink="'All Rev &amp; Projects'!$A$120" fmlaRange="Graphs!$C$155:$C$164" noThreeD="1" val="0"/>
</file>

<file path=xl/ctrlProps/ctrlProp6.xml><?xml version="1.0" encoding="utf-8"?>
<formControlPr xmlns="http://schemas.microsoft.com/office/spreadsheetml/2009/9/main" objectType="CheckBox" fmlaLink="'All Rev &amp; Projects'!$A$55" lockText="1" noThreeD="1"/>
</file>

<file path=xl/ctrlProps/ctrlProp60.xml><?xml version="1.0" encoding="utf-8"?>
<formControlPr xmlns="http://schemas.microsoft.com/office/spreadsheetml/2009/9/main" objectType="Drop" dropLines="5" dropStyle="combo" dx="16" fmlaLink="'Budget Sensitivity'!$B$38" fmlaRange="'Budget Sensitivity'!$N$63:$N$73" noThreeD="1" sel="2" val="0"/>
</file>

<file path=xl/ctrlProps/ctrlProp61.xml><?xml version="1.0" encoding="utf-8"?>
<formControlPr xmlns="http://schemas.microsoft.com/office/spreadsheetml/2009/9/main" objectType="Drop" dropStyle="combo" dx="16" fmlaLink="'PFD  Limits &amp; SB 114'!$O$6" fmlaRange="'PFD  Limits &amp; SB 114'!$Q$6:$Q$11" noThreeD="1" val="0"/>
</file>

<file path=xl/ctrlProps/ctrlProp62.xml><?xml version="1.0" encoding="utf-8"?>
<formControlPr xmlns="http://schemas.microsoft.com/office/spreadsheetml/2009/9/main" objectType="Drop" dropLines="61" dropStyle="combo" dx="16" fmlaLink="'Budget Sensitivity'!$E$43" fmlaRange="'Budget Sensitivity'!$L$63:$L$123" noThreeD="1" sel="31" val="2"/>
</file>

<file path=xl/ctrlProps/ctrlProp63.xml><?xml version="1.0" encoding="utf-8"?>
<formControlPr xmlns="http://schemas.microsoft.com/office/spreadsheetml/2009/9/main" objectType="Drop" dropLines="61" dropStyle="combo" dx="16" fmlaLink="'Budget Sensitivity'!$E$44" fmlaRange="'Budget Sensitivity'!$L$63:$L$123" noThreeD="1" sel="31" val="0"/>
</file>

<file path=xl/ctrlProps/ctrlProp64.xml><?xml version="1.0" encoding="utf-8"?>
<formControlPr xmlns="http://schemas.microsoft.com/office/spreadsheetml/2009/9/main" objectType="Drop" dropLines="41" dropStyle="combo" dx="16" fmlaLink="'Budget Sensitivity'!$E$46" fmlaRange="'Budget Sensitivity'!$L$63:$L$123" noThreeD="1" sel="31" val="20"/>
</file>

<file path=xl/ctrlProps/ctrlProp65.xml><?xml version="1.0" encoding="utf-8"?>
<formControlPr xmlns="http://schemas.microsoft.com/office/spreadsheetml/2009/9/main" objectType="Drop" dropLines="61" dropStyle="combo" dx="16" fmlaLink="'Budget Sensitivity'!$E$47" fmlaRange="'Budget Sensitivity'!$L$63:$L$123" noThreeD="1" sel="33" val="0"/>
</file>

<file path=xl/ctrlProps/ctrlProp66.xml><?xml version="1.0" encoding="utf-8"?>
<formControlPr xmlns="http://schemas.microsoft.com/office/spreadsheetml/2009/9/main" objectType="Drop" dropLines="61" dropStyle="combo" dx="16" fmlaLink="'Budget Sensitivity'!$E$48" fmlaRange="'Budget Sensitivity'!$L$63:$L$123" noThreeD="1" sel="31" val="0"/>
</file>

<file path=xl/ctrlProps/ctrlProp67.xml><?xml version="1.0" encoding="utf-8"?>
<formControlPr xmlns="http://schemas.microsoft.com/office/spreadsheetml/2009/9/main" objectType="Drop" dropLines="61" dropStyle="combo" dx="16" fmlaLink="'Budget Sensitivity'!$E$49" fmlaRange="'Budget Sensitivity'!$L$63:$L$123" noThreeD="1" sel="31" val="0"/>
</file>

<file path=xl/ctrlProps/ctrlProp68.xml><?xml version="1.0" encoding="utf-8"?>
<formControlPr xmlns="http://schemas.microsoft.com/office/spreadsheetml/2009/9/main" objectType="Drop" dropLines="61" dropStyle="combo" dx="16" fmlaLink="'Budget Sensitivity'!$E$50" fmlaRange="'Budget Sensitivity'!$L$63:$L$123" noThreeD="1" sel="32" val="0"/>
</file>

<file path=xl/ctrlProps/ctrlProp69.xml><?xml version="1.0" encoding="utf-8"?>
<formControlPr xmlns="http://schemas.microsoft.com/office/spreadsheetml/2009/9/main" objectType="Drop" dropLines="61" dropStyle="combo" dx="16" fmlaLink="'Budget Sensitivity'!$E$51" fmlaRange="'Budget Sensitivity'!$L$63:$L$123" noThreeD="1" sel="31" val="0"/>
</file>

<file path=xl/ctrlProps/ctrlProp7.xml><?xml version="1.0" encoding="utf-8"?>
<formControlPr xmlns="http://schemas.microsoft.com/office/spreadsheetml/2009/9/main" objectType="CheckBox" fmlaLink="'All Rev &amp; Projects'!$A$61" lockText="1" noThreeD="1"/>
</file>

<file path=xl/ctrlProps/ctrlProp70.xml><?xml version="1.0" encoding="utf-8"?>
<formControlPr xmlns="http://schemas.microsoft.com/office/spreadsheetml/2009/9/main" objectType="Drop" dropLines="61" dropStyle="combo" dx="16" fmlaLink="'Budget Sensitivity'!$E$52" fmlaRange="'Budget Sensitivity'!$L$63:$L$123" noThreeD="1" sel="36" val="0"/>
</file>

<file path=xl/ctrlProps/ctrlProp71.xml><?xml version="1.0" encoding="utf-8"?>
<formControlPr xmlns="http://schemas.microsoft.com/office/spreadsheetml/2009/9/main" objectType="Drop" dropLines="61" dropStyle="combo" dx="16" fmlaLink="'Budget Sensitivity'!$E$53" fmlaRange="'Budget Sensitivity'!$L$63:$L$123" noThreeD="1" sel="31" val="0"/>
</file>

<file path=xl/ctrlProps/ctrlProp72.xml><?xml version="1.0" encoding="utf-8"?>
<formControlPr xmlns="http://schemas.microsoft.com/office/spreadsheetml/2009/9/main" objectType="Drop" dropLines="61" dropStyle="combo" dx="16" fmlaLink="'Budget Sensitivity'!$E$54" fmlaRange="'Budget Sensitivity'!$L$63:$L$123" noThreeD="1" sel="31" val="0"/>
</file>

<file path=xl/ctrlProps/ctrlProp73.xml><?xml version="1.0" encoding="utf-8"?>
<formControlPr xmlns="http://schemas.microsoft.com/office/spreadsheetml/2009/9/main" objectType="Drop" dropLines="61" dropStyle="combo" dx="16" fmlaLink="'Budget Sensitivity'!$E$55" fmlaRange="'Budget Sensitivity'!$L$63:$L$123" noThreeD="1" sel="32" val="0"/>
</file>

<file path=xl/ctrlProps/ctrlProp74.xml><?xml version="1.0" encoding="utf-8"?>
<formControlPr xmlns="http://schemas.microsoft.com/office/spreadsheetml/2009/9/main" objectType="Drop" dropLines="61" dropStyle="combo" dx="16" fmlaLink="'Budget Sensitivity'!$E$56" fmlaRange="'Budget Sensitivity'!$L$63:$L$123" noThreeD="1" sel="31" val="0"/>
</file>

<file path=xl/ctrlProps/ctrlProp75.xml><?xml version="1.0" encoding="utf-8"?>
<formControlPr xmlns="http://schemas.microsoft.com/office/spreadsheetml/2009/9/main" objectType="Drop" dropLines="61" dropStyle="combo" dx="16" fmlaLink="'Budget Sensitivity'!$E$57" fmlaRange="'Budget Sensitivity'!$L$63:$L$123" noThreeD="1" sel="31" val="0"/>
</file>

<file path=xl/ctrlProps/ctrlProp76.xml><?xml version="1.0" encoding="utf-8"?>
<formControlPr xmlns="http://schemas.microsoft.com/office/spreadsheetml/2009/9/main" objectType="Drop" dropLines="61" dropStyle="combo" dx="16" fmlaLink="'Budget Sensitivity'!$E$58" fmlaRange="'Budget Sensitivity'!$L$63:$L$123" noThreeD="1" sel="37" val="0"/>
</file>

<file path=xl/ctrlProps/ctrlProp77.xml><?xml version="1.0" encoding="utf-8"?>
<formControlPr xmlns="http://schemas.microsoft.com/office/spreadsheetml/2009/9/main" objectType="Drop" dropLines="61" dropStyle="combo" dx="16" fmlaLink="'Budget Sensitivity'!$E$59" fmlaRange="'Budget Sensitivity'!$L$63:$L$123" noThreeD="1" sel="31" val="0"/>
</file>

<file path=xl/ctrlProps/ctrlProp78.xml><?xml version="1.0" encoding="utf-8"?>
<formControlPr xmlns="http://schemas.microsoft.com/office/spreadsheetml/2009/9/main" objectType="Drop" dropLines="61" dropStyle="combo" dx="16" fmlaLink="'Budget Sensitivity'!$E$60" fmlaRange="'Budget Sensitivity'!$L$63:$L$123" noThreeD="1" sel="31" val="0"/>
</file>

<file path=xl/ctrlProps/ctrlProp79.xml><?xml version="1.0" encoding="utf-8"?>
<formControlPr xmlns="http://schemas.microsoft.com/office/spreadsheetml/2009/9/main" objectType="Drop" dropLines="61" dropStyle="combo" dx="16" fmlaLink="'Budget Sensitivity'!$E$61" fmlaRange="'Budget Sensitivity'!$L$63:$L$123" noThreeD="1" sel="31" val="0"/>
</file>

<file path=xl/ctrlProps/ctrlProp8.xml><?xml version="1.0" encoding="utf-8"?>
<formControlPr xmlns="http://schemas.microsoft.com/office/spreadsheetml/2009/9/main" objectType="CheckBox" fmlaLink="'All Rev &amp; Projects'!$A$62" lockText="1" noThreeD="1"/>
</file>

<file path=xl/ctrlProps/ctrlProp80.xml><?xml version="1.0" encoding="utf-8"?>
<formControlPr xmlns="http://schemas.microsoft.com/office/spreadsheetml/2009/9/main" objectType="Drop" dropLines="41" dropStyle="combo" dx="16" fmlaLink="'Budget Sensitivity'!$F$41" fmlaRange="'Budget Sensitivity'!$L$63:$L$103" noThreeD="1" sel="31" val="0"/>
</file>

<file path=xl/ctrlProps/ctrlProp81.xml><?xml version="1.0" encoding="utf-8"?>
<formControlPr xmlns="http://schemas.microsoft.com/office/spreadsheetml/2009/9/main" objectType="Drop" dropLines="61" dropStyle="combo" dx="16" fmlaLink="'Budget Sensitivity'!$G$41" fmlaRange="'Budget Sensitivity'!$L$63:$L$123" noThreeD="1" sel="31" val="0"/>
</file>

<file path=xl/ctrlProps/ctrlProp82.xml><?xml version="1.0" encoding="utf-8"?>
<formControlPr xmlns="http://schemas.microsoft.com/office/spreadsheetml/2009/9/main" objectType="Drop" dropLines="61" dropStyle="combo" dx="16" fmlaLink="'Budget Sensitivity'!$H$41" fmlaRange="'Budget Sensitivity'!$L$63:$L$123" noThreeD="1" sel="31" val="0"/>
</file>

<file path=xl/ctrlProps/ctrlProp83.xml><?xml version="1.0" encoding="utf-8"?>
<formControlPr xmlns="http://schemas.microsoft.com/office/spreadsheetml/2009/9/main" objectType="Drop" dropLines="61" dropStyle="combo" dx="16" fmlaLink="'Budget Sensitivity'!$I$41" fmlaRange="'Budget Sensitivity'!$L$63:$L$123" noThreeD="1" sel="31" val="0"/>
</file>

<file path=xl/ctrlProps/ctrlProp84.xml><?xml version="1.0" encoding="utf-8"?>
<formControlPr xmlns="http://schemas.microsoft.com/office/spreadsheetml/2009/9/main" objectType="Drop" dropLines="61" dropStyle="combo" dx="16" fmlaLink="'Budget Sensitivity'!$J$41" fmlaRange="'Budget Sensitivity'!$L$63:$L$123" noThreeD="1" sel="31" val="0"/>
</file>

<file path=xl/ctrlProps/ctrlProp85.xml><?xml version="1.0" encoding="utf-8"?>
<formControlPr xmlns="http://schemas.microsoft.com/office/spreadsheetml/2009/9/main" objectType="Drop" dropLines="61" dropStyle="combo" dx="16" fmlaLink="'Budget Sensitivity'!$K$41" fmlaRange="'Budget Sensitivity'!$L$63:$L$123" noThreeD="1" sel="31" val="0"/>
</file>

<file path=xl/ctrlProps/ctrlProp86.xml><?xml version="1.0" encoding="utf-8"?>
<formControlPr xmlns="http://schemas.microsoft.com/office/spreadsheetml/2009/9/main" objectType="Drop" dropLines="61" dropStyle="combo" dx="16" fmlaLink="'Budget Sensitivity'!$L$41" fmlaRange="'Budget Sensitivity'!$L$63:$L$123" noThreeD="1" sel="31" val="0"/>
</file>

<file path=xl/ctrlProps/ctrlProp87.xml><?xml version="1.0" encoding="utf-8"?>
<formControlPr xmlns="http://schemas.microsoft.com/office/spreadsheetml/2009/9/main" objectType="Drop" dropLines="61" dropStyle="combo" dx="16" fmlaLink="'Budget Sensitivity'!$M$41" fmlaRange="'Budget Sensitivity'!$L$63:$L$123" noThreeD="1" sel="31" val="0"/>
</file>

<file path=xl/ctrlProps/ctrlProp88.xml><?xml version="1.0" encoding="utf-8"?>
<formControlPr xmlns="http://schemas.microsoft.com/office/spreadsheetml/2009/9/main" objectType="Drop" dropLines="61" dropStyle="combo" dx="16" fmlaLink="'Budget Sensitivity'!$N$41" fmlaRange="'Budget Sensitivity'!$L$63:$L$123" noThreeD="1" sel="31" val="0"/>
</file>

<file path=xl/ctrlProps/ctrlProp89.xml><?xml version="1.0" encoding="utf-8"?>
<formControlPr xmlns="http://schemas.microsoft.com/office/spreadsheetml/2009/9/main" objectType="Drop" dropLines="61" dropStyle="combo" dx="16" fmlaLink="'Budget Sensitivity'!$O$41" fmlaRange="'Budget Sensitivity'!$L$63:$L$123" noThreeD="1" sel="31" val="0"/>
</file>

<file path=xl/ctrlProps/ctrlProp9.xml><?xml version="1.0" encoding="utf-8"?>
<formControlPr xmlns="http://schemas.microsoft.com/office/spreadsheetml/2009/9/main" objectType="CheckBox" fmlaLink="'All Rev &amp; Projects'!$A$63" lockText="1" noThreeD="1"/>
</file>

<file path=xl/ctrlProps/ctrlProp90.xml><?xml version="1.0" encoding="utf-8"?>
<formControlPr xmlns="http://schemas.microsoft.com/office/spreadsheetml/2009/9/main" objectType="Drop" dropLines="61" dropStyle="combo" dx="16" fmlaLink="'Budget Sensitivity'!$P$41" fmlaRange="'Budget Sensitivity'!$L$63:$L$123" noThreeD="1" sel="31" val="0"/>
</file>

<file path=xl/ctrlProps/ctrlProp91.xml><?xml version="1.0" encoding="utf-8"?>
<formControlPr xmlns="http://schemas.microsoft.com/office/spreadsheetml/2009/9/main" objectType="Drop" dropLines="61" dropStyle="combo" dx="16" fmlaLink="'Budget Sensitivity'!$Q$41" fmlaRange="'Budget Sensitivity'!$L$63:$L$123" noThreeD="1" sel="31" val="0"/>
</file>

<file path=xl/ctrlProps/ctrlProp92.xml><?xml version="1.0" encoding="utf-8"?>
<formControlPr xmlns="http://schemas.microsoft.com/office/spreadsheetml/2009/9/main" objectType="Drop" dropLines="61" dropStyle="combo" dx="16" fmlaLink="'Budget Sensitivity'!$R$41" fmlaRange="'Budget Sensitivity'!$L$63:$L$123" noThreeD="1" sel="31" val="0"/>
</file>

<file path=xl/ctrlProps/ctrlProp93.xml><?xml version="1.0" encoding="utf-8"?>
<formControlPr xmlns="http://schemas.microsoft.com/office/spreadsheetml/2009/9/main" objectType="Drop" dropLines="61" dropStyle="combo" dx="16" fmlaLink="'Budget Sensitivity'!$S$41" fmlaRange="'Budget Sensitivity'!$L$63:$L$123" noThreeD="1" sel="31" val="0"/>
</file>

<file path=xl/ctrlProps/ctrlProp94.xml><?xml version="1.0" encoding="utf-8"?>
<formControlPr xmlns="http://schemas.microsoft.com/office/spreadsheetml/2009/9/main" objectType="Drop" dropLines="61" dropStyle="combo" dx="16" fmlaLink="'Budget Sensitivity'!$T$41" fmlaRange="'Budget Sensitivity'!$L$63:$L$123" noThreeD="1" sel="31" val="0"/>
</file>

<file path=xl/ctrlProps/ctrlProp95.xml><?xml version="1.0" encoding="utf-8"?>
<formControlPr xmlns="http://schemas.microsoft.com/office/spreadsheetml/2009/9/main" objectType="Drop" dropLines="61" dropStyle="combo" dx="16" fmlaLink="'Budget Sensitivity'!$E$45" fmlaRange="'Budget Sensitivity'!$L$63:$L$123" noThreeD="1" sel="37" val="0"/>
</file>

<file path=xl/ctrlProps/ctrlProp96.xml><?xml version="1.0" encoding="utf-8"?>
<formControlPr xmlns="http://schemas.microsoft.com/office/spreadsheetml/2009/9/main" objectType="CheckBox" fmlaLink="'All Rev &amp; Projects'!$A$26"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CheckBox" fmlaLink="'All Rev &amp; Projects'!$A$142" lockText="1" noThreeD="1"/>
</file>

<file path=xl/ctrlProps/ctrlProp99.xml><?xml version="1.0" encoding="utf-8"?>
<formControlPr xmlns="http://schemas.microsoft.com/office/spreadsheetml/2009/9/main" objectType="CheckBox" fmlaLink="'All Rev &amp; Projects'!$A$116"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10582</xdr:colOff>
      <xdr:row>0</xdr:row>
      <xdr:rowOff>61232</xdr:rowOff>
    </xdr:from>
    <xdr:to>
      <xdr:col>8</xdr:col>
      <xdr:colOff>1984</xdr:colOff>
      <xdr:row>0</xdr:row>
      <xdr:rowOff>4712368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21931</xdr:colOff>
      <xdr:row>0</xdr:row>
      <xdr:rowOff>408574</xdr:rowOff>
    </xdr:from>
    <xdr:to>
      <xdr:col>2</xdr:col>
      <xdr:colOff>2004219</xdr:colOff>
      <xdr:row>0</xdr:row>
      <xdr:rowOff>4420978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25689</xdr:colOff>
      <xdr:row>0</xdr:row>
      <xdr:rowOff>453961</xdr:rowOff>
    </xdr:from>
    <xdr:to>
      <xdr:col>10</xdr:col>
      <xdr:colOff>2083592</xdr:colOff>
      <xdr:row>0</xdr:row>
      <xdr:rowOff>4468177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176963</xdr:colOff>
      <xdr:row>10</xdr:row>
      <xdr:rowOff>233545</xdr:rowOff>
    </xdr:from>
    <xdr:to>
      <xdr:col>6</xdr:col>
      <xdr:colOff>2847779</xdr:colOff>
      <xdr:row>26</xdr:row>
      <xdr:rowOff>209732</xdr:rowOff>
    </xdr:to>
    <xdr:graphicFrame macro="">
      <xdr:nvGraphicFramePr>
        <xdr:cNvPr id="5"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83344</xdr:colOff>
      <xdr:row>28</xdr:row>
      <xdr:rowOff>243591</xdr:rowOff>
    </xdr:from>
    <xdr:to>
      <xdr:col>7</xdr:col>
      <xdr:colOff>178594</xdr:colOff>
      <xdr:row>44</xdr:row>
      <xdr:rowOff>220209</xdr:rowOff>
    </xdr:to>
    <xdr:graphicFrame macro="">
      <xdr:nvGraphicFramePr>
        <xdr:cNvPr id="10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7</xdr:row>
          <xdr:rowOff>219075</xdr:rowOff>
        </xdr:from>
        <xdr:to>
          <xdr:col>2</xdr:col>
          <xdr:colOff>361950</xdr:colOff>
          <xdr:row>8</xdr:row>
          <xdr:rowOff>190500</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17</xdr:row>
          <xdr:rowOff>0</xdr:rowOff>
        </xdr:from>
        <xdr:to>
          <xdr:col>2</xdr:col>
          <xdr:colOff>1847850</xdr:colOff>
          <xdr:row>17</xdr:row>
          <xdr:rowOff>228600</xdr:rowOff>
        </xdr:to>
        <xdr:sp macro="" textlink="">
          <xdr:nvSpPr>
            <xdr:cNvPr id="1064" name="Check Box 40" hidden="1">
              <a:extLst>
                <a:ext uri="{63B3BB69-23CF-44E3-9099-C40C66FF867C}">
                  <a14:compatExt spid="_x0000_s1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Implement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2</xdr:col>
          <xdr:colOff>1676400</xdr:colOff>
          <xdr:row>20</xdr:row>
          <xdr:rowOff>219075</xdr:rowOff>
        </xdr:to>
        <xdr:sp macro="" textlink="">
          <xdr:nvSpPr>
            <xdr:cNvPr id="1065" name="Check Box 41" hidden="1">
              <a:extLst>
                <a:ext uri="{63B3BB69-23CF-44E3-9099-C40C66FF867C}">
                  <a14:compatExt spid="_x0000_s10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0</xdr:rowOff>
        </xdr:from>
        <xdr:to>
          <xdr:col>2</xdr:col>
          <xdr:colOff>1371600</xdr:colOff>
          <xdr:row>23</xdr:row>
          <xdr:rowOff>228600</xdr:rowOff>
        </xdr:to>
        <xdr:sp macro="" textlink="">
          <xdr:nvSpPr>
            <xdr:cNvPr id="1068" name="Check Box 44" hidden="1">
              <a:extLst>
                <a:ext uri="{63B3BB69-23CF-44E3-9099-C40C66FF867C}">
                  <a14:compatExt spid="_x0000_s10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Remove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2</xdr:col>
          <xdr:colOff>1095375</xdr:colOff>
          <xdr:row>24</xdr:row>
          <xdr:rowOff>228600</xdr:rowOff>
        </xdr:to>
        <xdr:sp macro="" textlink="">
          <xdr:nvSpPr>
            <xdr:cNvPr id="1069" name="Check Box 45" hidden="1">
              <a:extLst>
                <a:ext uri="{63B3BB69-23CF-44E3-9099-C40C66FF867C}">
                  <a14:compatExt spid="_x0000_s10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9525</xdr:rowOff>
        </xdr:from>
        <xdr:to>
          <xdr:col>2</xdr:col>
          <xdr:colOff>1419225</xdr:colOff>
          <xdr:row>32</xdr:row>
          <xdr:rowOff>228600</xdr:rowOff>
        </xdr:to>
        <xdr:sp macro="" textlink="">
          <xdr:nvSpPr>
            <xdr:cNvPr id="1070" name="Check Box 46" hidden="1">
              <a:extLst>
                <a:ext uri="{63B3BB69-23CF-44E3-9099-C40C66FF867C}">
                  <a14:compatExt spid="_x0000_s10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Remove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3714750</xdr:colOff>
          <xdr:row>35</xdr:row>
          <xdr:rowOff>0</xdr:rowOff>
        </xdr:from>
        <xdr:to>
          <xdr:col>2</xdr:col>
          <xdr:colOff>1533525</xdr:colOff>
          <xdr:row>35</xdr:row>
          <xdr:rowOff>228600</xdr:rowOff>
        </xdr:to>
        <xdr:sp macro="" textlink="">
          <xdr:nvSpPr>
            <xdr:cNvPr id="1071" name="Check Box 47" hidden="1">
              <a:extLst>
                <a:ext uri="{63B3BB69-23CF-44E3-9099-C40C66FF867C}">
                  <a14:compatExt spid="_x0000_s10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Remove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1504950</xdr:colOff>
          <xdr:row>38</xdr:row>
          <xdr:rowOff>228600</xdr:rowOff>
        </xdr:to>
        <xdr:sp macro="" textlink="">
          <xdr:nvSpPr>
            <xdr:cNvPr id="1072" name="Check Box 48" hidden="1">
              <a:extLst>
                <a:ext uri="{63B3BB69-23CF-44E3-9099-C40C66FF867C}">
                  <a14:compatExt spid="_x0000_s10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Remove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xdr:row>
          <xdr:rowOff>0</xdr:rowOff>
        </xdr:from>
        <xdr:to>
          <xdr:col>2</xdr:col>
          <xdr:colOff>1609725</xdr:colOff>
          <xdr:row>39</xdr:row>
          <xdr:rowOff>228600</xdr:rowOff>
        </xdr:to>
        <xdr:sp macro="" textlink="">
          <xdr:nvSpPr>
            <xdr:cNvPr id="1073" name="Check Box 49" hidden="1">
              <a:extLst>
                <a:ext uri="{63B3BB69-23CF-44E3-9099-C40C66FF867C}">
                  <a14:compatExt spid="_x0000_s1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Remove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0</xdr:rowOff>
        </xdr:from>
        <xdr:to>
          <xdr:col>2</xdr:col>
          <xdr:colOff>1314450</xdr:colOff>
          <xdr:row>42</xdr:row>
          <xdr:rowOff>228600</xdr:rowOff>
        </xdr:to>
        <xdr:sp macro="" textlink="">
          <xdr:nvSpPr>
            <xdr:cNvPr id="1074" name="Check Box 50" hidden="1">
              <a:extLst>
                <a:ext uri="{63B3BB69-23CF-44E3-9099-C40C66FF867C}">
                  <a14:compatExt spid="_x0000_s1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Remove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1466850</xdr:colOff>
          <xdr:row>43</xdr:row>
          <xdr:rowOff>228600</xdr:rowOff>
        </xdr:to>
        <xdr:sp macro="" textlink="">
          <xdr:nvSpPr>
            <xdr:cNvPr id="1075" name="Check Box 51" hidden="1">
              <a:extLst>
                <a:ext uri="{63B3BB69-23CF-44E3-9099-C40C66FF867C}">
                  <a14:compatExt spid="_x0000_s10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Remove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3714750</xdr:colOff>
          <xdr:row>45</xdr:row>
          <xdr:rowOff>9525</xdr:rowOff>
        </xdr:from>
        <xdr:to>
          <xdr:col>2</xdr:col>
          <xdr:colOff>1847850</xdr:colOff>
          <xdr:row>45</xdr:row>
          <xdr:rowOff>257175</xdr:rowOff>
        </xdr:to>
        <xdr:sp macro="" textlink="">
          <xdr:nvSpPr>
            <xdr:cNvPr id="1076" name="Check Box 52" hidden="1">
              <a:extLst>
                <a:ext uri="{63B3BB69-23CF-44E3-9099-C40C66FF867C}">
                  <a14:compatExt spid="_x0000_s10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Remove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3714750</xdr:colOff>
          <xdr:row>46</xdr:row>
          <xdr:rowOff>9525</xdr:rowOff>
        </xdr:from>
        <xdr:to>
          <xdr:col>2</xdr:col>
          <xdr:colOff>1895475</xdr:colOff>
          <xdr:row>46</xdr:row>
          <xdr:rowOff>228600</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Remove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0</xdr:rowOff>
        </xdr:from>
        <xdr:to>
          <xdr:col>2</xdr:col>
          <xdr:colOff>1343025</xdr:colOff>
          <xdr:row>25</xdr:row>
          <xdr:rowOff>228600</xdr:rowOff>
        </xdr:to>
        <xdr:sp macro="" textlink="">
          <xdr:nvSpPr>
            <xdr:cNvPr id="1078" name="Check Box 54" hidden="1">
              <a:extLst>
                <a:ext uri="{63B3BB69-23CF-44E3-9099-C40C66FF867C}">
                  <a14:compatExt spid="_x0000_s10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Remove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xdr:row>
          <xdr:rowOff>0</xdr:rowOff>
        </xdr:from>
        <xdr:to>
          <xdr:col>2</xdr:col>
          <xdr:colOff>1390650</xdr:colOff>
          <xdr:row>26</xdr:row>
          <xdr:rowOff>219075</xdr:rowOff>
        </xdr:to>
        <xdr:sp macro="" textlink="">
          <xdr:nvSpPr>
            <xdr:cNvPr id="1079" name="Check Box 55" hidden="1">
              <a:extLst>
                <a:ext uri="{63B3BB69-23CF-44E3-9099-C40C66FF867C}">
                  <a14:compatExt spid="_x0000_s10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Increase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0</xdr:rowOff>
        </xdr:from>
        <xdr:to>
          <xdr:col>2</xdr:col>
          <xdr:colOff>1352550</xdr:colOff>
          <xdr:row>50</xdr:row>
          <xdr:rowOff>228600</xdr:rowOff>
        </xdr:to>
        <xdr:sp macro="" textlink="">
          <xdr:nvSpPr>
            <xdr:cNvPr id="1080" name="Check Box 56" hidden="1">
              <a:extLst>
                <a:ext uri="{63B3BB69-23CF-44E3-9099-C40C66FF867C}">
                  <a14:compatExt spid="_x0000_s10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0</xdr:rowOff>
        </xdr:from>
        <xdr:to>
          <xdr:col>2</xdr:col>
          <xdr:colOff>1295400</xdr:colOff>
          <xdr:row>50</xdr:row>
          <xdr:rowOff>228600</xdr:rowOff>
        </xdr:to>
        <xdr:sp macro="" textlink="">
          <xdr:nvSpPr>
            <xdr:cNvPr id="1081" name="Check Box 57" hidden="1">
              <a:extLst>
                <a:ext uri="{63B3BB69-23CF-44E3-9099-C40C66FF867C}">
                  <a14:compatExt spid="_x0000_s10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60</xdr:row>
          <xdr:rowOff>0</xdr:rowOff>
        </xdr:from>
        <xdr:to>
          <xdr:col>2</xdr:col>
          <xdr:colOff>1314450</xdr:colOff>
          <xdr:row>60</xdr:row>
          <xdr:rowOff>228600</xdr:rowOff>
        </xdr:to>
        <xdr:sp macro="" textlink="">
          <xdr:nvSpPr>
            <xdr:cNvPr id="1082" name="Check Box 58" hidden="1">
              <a:extLst>
                <a:ext uri="{63B3BB69-23CF-44E3-9099-C40C66FF867C}">
                  <a14:compatExt spid="_x0000_s10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64</xdr:row>
          <xdr:rowOff>0</xdr:rowOff>
        </xdr:from>
        <xdr:to>
          <xdr:col>2</xdr:col>
          <xdr:colOff>1447800</xdr:colOff>
          <xdr:row>64</xdr:row>
          <xdr:rowOff>228600</xdr:rowOff>
        </xdr:to>
        <xdr:sp macro="" textlink="">
          <xdr:nvSpPr>
            <xdr:cNvPr id="1083" name="Check Box 59" hidden="1">
              <a:extLst>
                <a:ext uri="{63B3BB69-23CF-44E3-9099-C40C66FF867C}">
                  <a14:compatExt spid="_x0000_s10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66</xdr:row>
          <xdr:rowOff>0</xdr:rowOff>
        </xdr:from>
        <xdr:to>
          <xdr:col>2</xdr:col>
          <xdr:colOff>1800225</xdr:colOff>
          <xdr:row>66</xdr:row>
          <xdr:rowOff>228600</xdr:rowOff>
        </xdr:to>
        <xdr:sp macro="" textlink="">
          <xdr:nvSpPr>
            <xdr:cNvPr id="1084" name="Check Box 60" hidden="1">
              <a:extLst>
                <a:ext uri="{63B3BB69-23CF-44E3-9099-C40C66FF867C}">
                  <a14:compatExt spid="_x0000_s10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67</xdr:row>
          <xdr:rowOff>0</xdr:rowOff>
        </xdr:from>
        <xdr:to>
          <xdr:col>2</xdr:col>
          <xdr:colOff>1152525</xdr:colOff>
          <xdr:row>67</xdr:row>
          <xdr:rowOff>228600</xdr:rowOff>
        </xdr:to>
        <xdr:sp macro="" textlink="">
          <xdr:nvSpPr>
            <xdr:cNvPr id="1085" name="Check Box 61" hidden="1">
              <a:extLst>
                <a:ext uri="{63B3BB69-23CF-44E3-9099-C40C66FF867C}">
                  <a14:compatExt spid="_x0000_s10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xdr:row>
          <xdr:rowOff>0</xdr:rowOff>
        </xdr:from>
        <xdr:to>
          <xdr:col>2</xdr:col>
          <xdr:colOff>1438275</xdr:colOff>
          <xdr:row>68</xdr:row>
          <xdr:rowOff>228600</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0</xdr:rowOff>
        </xdr:from>
        <xdr:to>
          <xdr:col>2</xdr:col>
          <xdr:colOff>1295400</xdr:colOff>
          <xdr:row>75</xdr:row>
          <xdr:rowOff>228600</xdr:rowOff>
        </xdr:to>
        <xdr:sp macro="" textlink="">
          <xdr:nvSpPr>
            <xdr:cNvPr id="1087" name="Check Box 63" hidden="1">
              <a:extLst>
                <a:ext uri="{63B3BB69-23CF-44E3-9099-C40C66FF867C}">
                  <a14:compatExt spid="_x0000_s10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79</xdr:row>
          <xdr:rowOff>0</xdr:rowOff>
        </xdr:from>
        <xdr:to>
          <xdr:col>2</xdr:col>
          <xdr:colOff>1095375</xdr:colOff>
          <xdr:row>79</xdr:row>
          <xdr:rowOff>228600</xdr:rowOff>
        </xdr:to>
        <xdr:sp macro="" textlink="">
          <xdr:nvSpPr>
            <xdr:cNvPr id="1088" name="Check Box 64" hidden="1">
              <a:extLst>
                <a:ext uri="{63B3BB69-23CF-44E3-9099-C40C66FF867C}">
                  <a14:compatExt spid="_x0000_s10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82</xdr:row>
          <xdr:rowOff>0</xdr:rowOff>
        </xdr:from>
        <xdr:to>
          <xdr:col>2</xdr:col>
          <xdr:colOff>1514475</xdr:colOff>
          <xdr:row>82</xdr:row>
          <xdr:rowOff>228600</xdr:rowOff>
        </xdr:to>
        <xdr:sp macro="" textlink="">
          <xdr:nvSpPr>
            <xdr:cNvPr id="1089" name="Check Box 65" hidden="1">
              <a:extLst>
                <a:ext uri="{63B3BB69-23CF-44E3-9099-C40C66FF867C}">
                  <a14:compatExt spid="_x0000_s1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85</xdr:row>
          <xdr:rowOff>0</xdr:rowOff>
        </xdr:from>
        <xdr:to>
          <xdr:col>2</xdr:col>
          <xdr:colOff>1581150</xdr:colOff>
          <xdr:row>85</xdr:row>
          <xdr:rowOff>228600</xdr:rowOff>
        </xdr:to>
        <xdr:sp macro="" textlink="">
          <xdr:nvSpPr>
            <xdr:cNvPr id="1090" name="Check Box 66" hidden="1">
              <a:extLst>
                <a:ext uri="{63B3BB69-23CF-44E3-9099-C40C66FF867C}">
                  <a14:compatExt spid="_x0000_s1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98</xdr:row>
          <xdr:rowOff>28575</xdr:rowOff>
        </xdr:from>
        <xdr:to>
          <xdr:col>2</xdr:col>
          <xdr:colOff>1457325</xdr:colOff>
          <xdr:row>99</xdr:row>
          <xdr:rowOff>9525</xdr:rowOff>
        </xdr:to>
        <xdr:sp macro="" textlink="">
          <xdr:nvSpPr>
            <xdr:cNvPr id="1092" name="Check Box 68" hidden="1">
              <a:extLst>
                <a:ext uri="{63B3BB69-23CF-44E3-9099-C40C66FF867C}">
                  <a14:compatExt spid="_x0000_s1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Implement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99</xdr:row>
          <xdr:rowOff>0</xdr:rowOff>
        </xdr:from>
        <xdr:to>
          <xdr:col>2</xdr:col>
          <xdr:colOff>1076325</xdr:colOff>
          <xdr:row>99</xdr:row>
          <xdr:rowOff>228600</xdr:rowOff>
        </xdr:to>
        <xdr:sp macro="" textlink="">
          <xdr:nvSpPr>
            <xdr:cNvPr id="1094" name="Check Box 70" hidden="1">
              <a:extLst>
                <a:ext uri="{63B3BB69-23CF-44E3-9099-C40C66FF867C}">
                  <a14:compatExt spid="_x0000_s10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Implement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101</xdr:row>
          <xdr:rowOff>0</xdr:rowOff>
        </xdr:from>
        <xdr:to>
          <xdr:col>2</xdr:col>
          <xdr:colOff>1390650</xdr:colOff>
          <xdr:row>101</xdr:row>
          <xdr:rowOff>228600</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Implement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2</xdr:col>
          <xdr:colOff>1857375</xdr:colOff>
          <xdr:row>9</xdr:row>
          <xdr:rowOff>171450</xdr:rowOff>
        </xdr:to>
        <xdr:sp macro="" textlink="">
          <xdr:nvSpPr>
            <xdr:cNvPr id="1096" name="Option Button 72" hidden="1">
              <a:extLst>
                <a:ext uri="{63B3BB69-23CF-44E3-9099-C40C66FF867C}">
                  <a14:compatExt spid="_x0000_s1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Status Quo PF Revenue Methodology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9525</xdr:rowOff>
        </xdr:from>
        <xdr:to>
          <xdr:col>3</xdr:col>
          <xdr:colOff>19050</xdr:colOff>
          <xdr:row>10</xdr:row>
          <xdr:rowOff>180975</xdr:rowOff>
        </xdr:to>
        <xdr:sp macro="" textlink="">
          <xdr:nvSpPr>
            <xdr:cNvPr id="1097" name="Option Button 73" hidden="1">
              <a:extLst>
                <a:ext uri="{63B3BB69-23CF-44E3-9099-C40C66FF867C}">
                  <a14:compatExt spid="_x0000_s1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Implement Endowment Methodology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3714750</xdr:colOff>
          <xdr:row>33</xdr:row>
          <xdr:rowOff>0</xdr:rowOff>
        </xdr:from>
        <xdr:to>
          <xdr:col>2</xdr:col>
          <xdr:colOff>1381125</xdr:colOff>
          <xdr:row>33</xdr:row>
          <xdr:rowOff>219075</xdr:rowOff>
        </xdr:to>
        <xdr:sp macro="" textlink="">
          <xdr:nvSpPr>
            <xdr:cNvPr id="1099" name="Check Box 75" hidden="1">
              <a:extLst>
                <a:ext uri="{63B3BB69-23CF-44E3-9099-C40C66FF867C}">
                  <a14:compatExt spid="_x0000_s1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Remove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60</xdr:row>
          <xdr:rowOff>0</xdr:rowOff>
        </xdr:from>
        <xdr:to>
          <xdr:col>2</xdr:col>
          <xdr:colOff>2000250</xdr:colOff>
          <xdr:row>60</xdr:row>
          <xdr:rowOff>209550</xdr:rowOff>
        </xdr:to>
        <xdr:sp macro="" textlink="">
          <xdr:nvSpPr>
            <xdr:cNvPr id="1100" name="Drop Down 7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50</xdr:row>
          <xdr:rowOff>0</xdr:rowOff>
        </xdr:from>
        <xdr:to>
          <xdr:col>2</xdr:col>
          <xdr:colOff>2009775</xdr:colOff>
          <xdr:row>50</xdr:row>
          <xdr:rowOff>200025</xdr:rowOff>
        </xdr:to>
        <xdr:sp macro="" textlink="">
          <xdr:nvSpPr>
            <xdr:cNvPr id="1101" name="Drop Down 7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50</xdr:row>
          <xdr:rowOff>9525</xdr:rowOff>
        </xdr:from>
        <xdr:to>
          <xdr:col>3</xdr:col>
          <xdr:colOff>0</xdr:colOff>
          <xdr:row>50</xdr:row>
          <xdr:rowOff>209550</xdr:rowOff>
        </xdr:to>
        <xdr:sp macro="" textlink="">
          <xdr:nvSpPr>
            <xdr:cNvPr id="1102" name="Drop Down 7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723900</xdr:colOff>
          <xdr:row>79</xdr:row>
          <xdr:rowOff>0</xdr:rowOff>
        </xdr:from>
        <xdr:to>
          <xdr:col>3</xdr:col>
          <xdr:colOff>0</xdr:colOff>
          <xdr:row>79</xdr:row>
          <xdr:rowOff>200025</xdr:rowOff>
        </xdr:to>
        <xdr:sp macro="" textlink="">
          <xdr:nvSpPr>
            <xdr:cNvPr id="1103" name="Drop Down 79"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695325</xdr:colOff>
          <xdr:row>66</xdr:row>
          <xdr:rowOff>0</xdr:rowOff>
        </xdr:from>
        <xdr:to>
          <xdr:col>3</xdr:col>
          <xdr:colOff>0</xdr:colOff>
          <xdr:row>66</xdr:row>
          <xdr:rowOff>200025</xdr:rowOff>
        </xdr:to>
        <xdr:sp macro="" textlink="">
          <xdr:nvSpPr>
            <xdr:cNvPr id="1104" name="Drop Down 80"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75</xdr:row>
          <xdr:rowOff>9525</xdr:rowOff>
        </xdr:from>
        <xdr:to>
          <xdr:col>2</xdr:col>
          <xdr:colOff>2009775</xdr:colOff>
          <xdr:row>75</xdr:row>
          <xdr:rowOff>209550</xdr:rowOff>
        </xdr:to>
        <xdr:sp macro="" textlink="">
          <xdr:nvSpPr>
            <xdr:cNvPr id="1105" name="Drop Down 81"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0</xdr:rowOff>
        </xdr:from>
        <xdr:to>
          <xdr:col>2</xdr:col>
          <xdr:colOff>1371600</xdr:colOff>
          <xdr:row>22</xdr:row>
          <xdr:rowOff>228600</xdr:rowOff>
        </xdr:to>
        <xdr:sp macro="" textlink="">
          <xdr:nvSpPr>
            <xdr:cNvPr id="1121" name="Check Box 97" hidden="1">
              <a:extLst>
                <a:ext uri="{63B3BB69-23CF-44E3-9099-C40C66FF867C}">
                  <a14:compatExt spid="_x0000_s1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22</xdr:row>
          <xdr:rowOff>0</xdr:rowOff>
        </xdr:from>
        <xdr:to>
          <xdr:col>2</xdr:col>
          <xdr:colOff>2000250</xdr:colOff>
          <xdr:row>22</xdr:row>
          <xdr:rowOff>209550</xdr:rowOff>
        </xdr:to>
        <xdr:sp macro="" textlink="">
          <xdr:nvSpPr>
            <xdr:cNvPr id="1123" name="Drop Down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24</xdr:row>
          <xdr:rowOff>0</xdr:rowOff>
        </xdr:from>
        <xdr:to>
          <xdr:col>2</xdr:col>
          <xdr:colOff>2000250</xdr:colOff>
          <xdr:row>24</xdr:row>
          <xdr:rowOff>209550</xdr:rowOff>
        </xdr:to>
        <xdr:sp macro="" textlink="">
          <xdr:nvSpPr>
            <xdr:cNvPr id="1124" name="Drop Down 10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0</xdr:rowOff>
        </xdr:from>
        <xdr:to>
          <xdr:col>2</xdr:col>
          <xdr:colOff>1390650</xdr:colOff>
          <xdr:row>27</xdr:row>
          <xdr:rowOff>219075</xdr:rowOff>
        </xdr:to>
        <xdr:sp macro="" textlink="">
          <xdr:nvSpPr>
            <xdr:cNvPr id="1128" name="Check Box 104" hidden="1">
              <a:extLst>
                <a:ext uri="{63B3BB69-23CF-44E3-9099-C40C66FF867C}">
                  <a14:compatExt spid="_x0000_s11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0</xdr:rowOff>
        </xdr:from>
        <xdr:to>
          <xdr:col>2</xdr:col>
          <xdr:colOff>1314450</xdr:colOff>
          <xdr:row>53</xdr:row>
          <xdr:rowOff>228600</xdr:rowOff>
        </xdr:to>
        <xdr:sp macro="" textlink="">
          <xdr:nvSpPr>
            <xdr:cNvPr id="1133" name="Check Box 109" hidden="1">
              <a:extLst>
                <a:ext uri="{63B3BB69-23CF-44E3-9099-C40C66FF867C}">
                  <a14:compatExt spid="_x0000_s11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53</xdr:row>
          <xdr:rowOff>0</xdr:rowOff>
        </xdr:from>
        <xdr:to>
          <xdr:col>2</xdr:col>
          <xdr:colOff>2000250</xdr:colOff>
          <xdr:row>53</xdr:row>
          <xdr:rowOff>209550</xdr:rowOff>
        </xdr:to>
        <xdr:sp macro="" textlink="">
          <xdr:nvSpPr>
            <xdr:cNvPr id="1134" name="Drop Down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56</xdr:row>
          <xdr:rowOff>0</xdr:rowOff>
        </xdr:from>
        <xdr:to>
          <xdr:col>2</xdr:col>
          <xdr:colOff>1314450</xdr:colOff>
          <xdr:row>56</xdr:row>
          <xdr:rowOff>228600</xdr:rowOff>
        </xdr:to>
        <xdr:sp macro="" textlink="">
          <xdr:nvSpPr>
            <xdr:cNvPr id="1135" name="Check Box 111" hidden="1">
              <a:extLst>
                <a:ext uri="{63B3BB69-23CF-44E3-9099-C40C66FF867C}">
                  <a14:compatExt spid="_x0000_s11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56</xdr:row>
          <xdr:rowOff>0</xdr:rowOff>
        </xdr:from>
        <xdr:to>
          <xdr:col>2</xdr:col>
          <xdr:colOff>2000250</xdr:colOff>
          <xdr:row>56</xdr:row>
          <xdr:rowOff>209550</xdr:rowOff>
        </xdr:to>
        <xdr:sp macro="" textlink="">
          <xdr:nvSpPr>
            <xdr:cNvPr id="1136" name="Drop Down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71</xdr:row>
          <xdr:rowOff>0</xdr:rowOff>
        </xdr:from>
        <xdr:to>
          <xdr:col>2</xdr:col>
          <xdr:colOff>1314450</xdr:colOff>
          <xdr:row>71</xdr:row>
          <xdr:rowOff>228600</xdr:rowOff>
        </xdr:to>
        <xdr:sp macro="" textlink="">
          <xdr:nvSpPr>
            <xdr:cNvPr id="1137" name="Check Box 113" hidden="1">
              <a:extLst>
                <a:ext uri="{63B3BB69-23CF-44E3-9099-C40C66FF867C}">
                  <a14:compatExt spid="_x0000_s11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71</xdr:row>
          <xdr:rowOff>0</xdr:rowOff>
        </xdr:from>
        <xdr:to>
          <xdr:col>2</xdr:col>
          <xdr:colOff>2000250</xdr:colOff>
          <xdr:row>71</xdr:row>
          <xdr:rowOff>209550</xdr:rowOff>
        </xdr:to>
        <xdr:sp macro="" textlink="">
          <xdr:nvSpPr>
            <xdr:cNvPr id="1138" name="Drop Down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71</xdr:row>
          <xdr:rowOff>219075</xdr:rowOff>
        </xdr:from>
        <xdr:to>
          <xdr:col>2</xdr:col>
          <xdr:colOff>1847850</xdr:colOff>
          <xdr:row>72</xdr:row>
          <xdr:rowOff>219075</xdr:rowOff>
        </xdr:to>
        <xdr:sp macro="" textlink="">
          <xdr:nvSpPr>
            <xdr:cNvPr id="1140" name="Check Box 116" hidden="1">
              <a:extLst>
                <a:ext uri="{63B3BB69-23CF-44E3-9099-C40C66FF867C}">
                  <a14:compatExt spid="_x0000_s11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Remove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12</xdr:row>
          <xdr:rowOff>0</xdr:rowOff>
        </xdr:from>
        <xdr:to>
          <xdr:col>2</xdr:col>
          <xdr:colOff>2000250</xdr:colOff>
          <xdr:row>12</xdr:row>
          <xdr:rowOff>209550</xdr:rowOff>
        </xdr:to>
        <xdr:sp macro="" textlink="">
          <xdr:nvSpPr>
            <xdr:cNvPr id="1142" name="Drop Down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26</xdr:row>
          <xdr:rowOff>0</xdr:rowOff>
        </xdr:from>
        <xdr:to>
          <xdr:col>2</xdr:col>
          <xdr:colOff>2000250</xdr:colOff>
          <xdr:row>26</xdr:row>
          <xdr:rowOff>209550</xdr:rowOff>
        </xdr:to>
        <xdr:sp macro="" textlink="">
          <xdr:nvSpPr>
            <xdr:cNvPr id="1143" name="Drop Down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781050</xdr:colOff>
          <xdr:row>100</xdr:row>
          <xdr:rowOff>9525</xdr:rowOff>
        </xdr:from>
        <xdr:to>
          <xdr:col>2</xdr:col>
          <xdr:colOff>1981200</xdr:colOff>
          <xdr:row>100</xdr:row>
          <xdr:rowOff>219075</xdr:rowOff>
        </xdr:to>
        <xdr:sp macro="" textlink="">
          <xdr:nvSpPr>
            <xdr:cNvPr id="1144" name="Drop Down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16</xdr:row>
          <xdr:rowOff>0</xdr:rowOff>
        </xdr:from>
        <xdr:to>
          <xdr:col>2</xdr:col>
          <xdr:colOff>2000250</xdr:colOff>
          <xdr:row>16</xdr:row>
          <xdr:rowOff>209550</xdr:rowOff>
        </xdr:to>
        <xdr:sp macro="" textlink="">
          <xdr:nvSpPr>
            <xdr:cNvPr id="1145" name="Drop Down 12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11</xdr:row>
          <xdr:rowOff>9525</xdr:rowOff>
        </xdr:from>
        <xdr:to>
          <xdr:col>2</xdr:col>
          <xdr:colOff>2000250</xdr:colOff>
          <xdr:row>11</xdr:row>
          <xdr:rowOff>228600</xdr:rowOff>
        </xdr:to>
        <xdr:sp macro="" textlink="">
          <xdr:nvSpPr>
            <xdr:cNvPr id="1150" name="Drop Down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0</xdr:rowOff>
        </xdr:from>
        <xdr:to>
          <xdr:col>2</xdr:col>
          <xdr:colOff>2000250</xdr:colOff>
          <xdr:row>5</xdr:row>
          <xdr:rowOff>238125</xdr:rowOff>
        </xdr:to>
        <xdr:sp macro="" textlink="">
          <xdr:nvSpPr>
            <xdr:cNvPr id="1153" name="Drop Down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95</xdr:row>
          <xdr:rowOff>0</xdr:rowOff>
        </xdr:from>
        <xdr:to>
          <xdr:col>2</xdr:col>
          <xdr:colOff>1628775</xdr:colOff>
          <xdr:row>95</xdr:row>
          <xdr:rowOff>228600</xdr:rowOff>
        </xdr:to>
        <xdr:sp macro="" textlink="">
          <xdr:nvSpPr>
            <xdr:cNvPr id="1156" name="Check Box 132" hidden="1">
              <a:extLst>
                <a:ext uri="{63B3BB69-23CF-44E3-9099-C40C66FF867C}">
                  <a14:compatExt spid="_x0000_s1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65</xdr:row>
          <xdr:rowOff>0</xdr:rowOff>
        </xdr:from>
        <xdr:to>
          <xdr:col>2</xdr:col>
          <xdr:colOff>1447800</xdr:colOff>
          <xdr:row>65</xdr:row>
          <xdr:rowOff>228600</xdr:rowOff>
        </xdr:to>
        <xdr:sp macro="" textlink="">
          <xdr:nvSpPr>
            <xdr:cNvPr id="1157" name="Check Box 133" hidden="1">
              <a:extLst>
                <a:ext uri="{63B3BB69-23CF-44E3-9099-C40C66FF867C}">
                  <a14:compatExt spid="_x0000_s1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59</xdr:row>
          <xdr:rowOff>0</xdr:rowOff>
        </xdr:from>
        <xdr:to>
          <xdr:col>2</xdr:col>
          <xdr:colOff>1352550</xdr:colOff>
          <xdr:row>59</xdr:row>
          <xdr:rowOff>228600</xdr:rowOff>
        </xdr:to>
        <xdr:sp macro="" textlink="">
          <xdr:nvSpPr>
            <xdr:cNvPr id="1158" name="Check Box 134" hidden="1">
              <a:extLst>
                <a:ext uri="{63B3BB69-23CF-44E3-9099-C40C66FF867C}">
                  <a14:compatExt spid="_x0000_s11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59</xdr:row>
          <xdr:rowOff>0</xdr:rowOff>
        </xdr:from>
        <xdr:to>
          <xdr:col>2</xdr:col>
          <xdr:colOff>2009775</xdr:colOff>
          <xdr:row>59</xdr:row>
          <xdr:rowOff>200025</xdr:rowOff>
        </xdr:to>
        <xdr:sp macro="" textlink="">
          <xdr:nvSpPr>
            <xdr:cNvPr id="1159" name="Drop Down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676275</xdr:colOff>
          <xdr:row>43</xdr:row>
          <xdr:rowOff>0</xdr:rowOff>
        </xdr:from>
        <xdr:to>
          <xdr:col>10</xdr:col>
          <xdr:colOff>2000250</xdr:colOff>
          <xdr:row>43</xdr:row>
          <xdr:rowOff>209550</xdr:rowOff>
        </xdr:to>
        <xdr:sp macro="" textlink="">
          <xdr:nvSpPr>
            <xdr:cNvPr id="1161" name="Drop Down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666750</xdr:colOff>
          <xdr:row>13</xdr:row>
          <xdr:rowOff>28575</xdr:rowOff>
        </xdr:from>
        <xdr:to>
          <xdr:col>2</xdr:col>
          <xdr:colOff>2009775</xdr:colOff>
          <xdr:row>14</xdr:row>
          <xdr:rowOff>9525</xdr:rowOff>
        </xdr:to>
        <xdr:sp macro="" textlink="">
          <xdr:nvSpPr>
            <xdr:cNvPr id="1163" name="Drop Down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6</xdr:row>
          <xdr:rowOff>19050</xdr:rowOff>
        </xdr:from>
        <xdr:to>
          <xdr:col>11</xdr:col>
          <xdr:colOff>0</xdr:colOff>
          <xdr:row>6</xdr:row>
          <xdr:rowOff>219075</xdr:rowOff>
        </xdr:to>
        <xdr:sp macro="" textlink="">
          <xdr:nvSpPr>
            <xdr:cNvPr id="1171" name="Drop Down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7</xdr:row>
          <xdr:rowOff>0</xdr:rowOff>
        </xdr:from>
        <xdr:to>
          <xdr:col>11</xdr:col>
          <xdr:colOff>0</xdr:colOff>
          <xdr:row>7</xdr:row>
          <xdr:rowOff>200025</xdr:rowOff>
        </xdr:to>
        <xdr:sp macro="" textlink="">
          <xdr:nvSpPr>
            <xdr:cNvPr id="1177" name="Drop Down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9</xdr:row>
          <xdr:rowOff>19050</xdr:rowOff>
        </xdr:from>
        <xdr:to>
          <xdr:col>11</xdr:col>
          <xdr:colOff>0</xdr:colOff>
          <xdr:row>9</xdr:row>
          <xdr:rowOff>219075</xdr:rowOff>
        </xdr:to>
        <xdr:sp macro="" textlink="">
          <xdr:nvSpPr>
            <xdr:cNvPr id="1180" name="Drop Down 15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10</xdr:row>
          <xdr:rowOff>19050</xdr:rowOff>
        </xdr:from>
        <xdr:to>
          <xdr:col>11</xdr:col>
          <xdr:colOff>0</xdr:colOff>
          <xdr:row>10</xdr:row>
          <xdr:rowOff>219075</xdr:rowOff>
        </xdr:to>
        <xdr:sp macro="" textlink="">
          <xdr:nvSpPr>
            <xdr:cNvPr id="1182" name="Drop Down 158" hidden="1">
              <a:extLst>
                <a:ext uri="{63B3BB69-23CF-44E3-9099-C40C66FF867C}">
                  <a14:compatExt spid="_x0000_s1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11</xdr:row>
          <xdr:rowOff>19050</xdr:rowOff>
        </xdr:from>
        <xdr:to>
          <xdr:col>11</xdr:col>
          <xdr:colOff>0</xdr:colOff>
          <xdr:row>11</xdr:row>
          <xdr:rowOff>219075</xdr:rowOff>
        </xdr:to>
        <xdr:sp macro="" textlink="">
          <xdr:nvSpPr>
            <xdr:cNvPr id="1183" name="Drop Down 159" hidden="1">
              <a:extLst>
                <a:ext uri="{63B3BB69-23CF-44E3-9099-C40C66FF867C}">
                  <a14:compatExt spid="_x0000_s1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12</xdr:row>
          <xdr:rowOff>19050</xdr:rowOff>
        </xdr:from>
        <xdr:to>
          <xdr:col>11</xdr:col>
          <xdr:colOff>0</xdr:colOff>
          <xdr:row>12</xdr:row>
          <xdr:rowOff>219075</xdr:rowOff>
        </xdr:to>
        <xdr:sp macro="" textlink="">
          <xdr:nvSpPr>
            <xdr:cNvPr id="1184" name="Drop Down 160"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13</xdr:row>
          <xdr:rowOff>19050</xdr:rowOff>
        </xdr:from>
        <xdr:to>
          <xdr:col>11</xdr:col>
          <xdr:colOff>0</xdr:colOff>
          <xdr:row>13</xdr:row>
          <xdr:rowOff>219075</xdr:rowOff>
        </xdr:to>
        <xdr:sp macro="" textlink="">
          <xdr:nvSpPr>
            <xdr:cNvPr id="1185" name="Drop Down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14</xdr:row>
          <xdr:rowOff>19050</xdr:rowOff>
        </xdr:from>
        <xdr:to>
          <xdr:col>11</xdr:col>
          <xdr:colOff>0</xdr:colOff>
          <xdr:row>14</xdr:row>
          <xdr:rowOff>219075</xdr:rowOff>
        </xdr:to>
        <xdr:sp macro="" textlink="">
          <xdr:nvSpPr>
            <xdr:cNvPr id="1186" name="Drop Down 162"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15</xdr:row>
          <xdr:rowOff>19050</xdr:rowOff>
        </xdr:from>
        <xdr:to>
          <xdr:col>11</xdr:col>
          <xdr:colOff>0</xdr:colOff>
          <xdr:row>15</xdr:row>
          <xdr:rowOff>219075</xdr:rowOff>
        </xdr:to>
        <xdr:sp macro="" textlink="">
          <xdr:nvSpPr>
            <xdr:cNvPr id="1187" name="Drop Down 163" hidden="1">
              <a:extLst>
                <a:ext uri="{63B3BB69-23CF-44E3-9099-C40C66FF867C}">
                  <a14:compatExt spid="_x0000_s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16</xdr:row>
          <xdr:rowOff>19050</xdr:rowOff>
        </xdr:from>
        <xdr:to>
          <xdr:col>11</xdr:col>
          <xdr:colOff>0</xdr:colOff>
          <xdr:row>16</xdr:row>
          <xdr:rowOff>219075</xdr:rowOff>
        </xdr:to>
        <xdr:sp macro="" textlink="">
          <xdr:nvSpPr>
            <xdr:cNvPr id="1188" name="Drop Down 164"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17</xdr:row>
          <xdr:rowOff>19050</xdr:rowOff>
        </xdr:from>
        <xdr:to>
          <xdr:col>11</xdr:col>
          <xdr:colOff>0</xdr:colOff>
          <xdr:row>17</xdr:row>
          <xdr:rowOff>219075</xdr:rowOff>
        </xdr:to>
        <xdr:sp macro="" textlink="">
          <xdr:nvSpPr>
            <xdr:cNvPr id="1189" name="Drop Down 165" hidden="1">
              <a:extLst>
                <a:ext uri="{63B3BB69-23CF-44E3-9099-C40C66FF867C}">
                  <a14:compatExt spid="_x0000_s1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18</xdr:row>
          <xdr:rowOff>19050</xdr:rowOff>
        </xdr:from>
        <xdr:to>
          <xdr:col>11</xdr:col>
          <xdr:colOff>0</xdr:colOff>
          <xdr:row>18</xdr:row>
          <xdr:rowOff>219075</xdr:rowOff>
        </xdr:to>
        <xdr:sp macro="" textlink="">
          <xdr:nvSpPr>
            <xdr:cNvPr id="1190" name="Drop Down 166" hidden="1">
              <a:extLst>
                <a:ext uri="{63B3BB69-23CF-44E3-9099-C40C66FF867C}">
                  <a14:compatExt spid="_x0000_s1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19</xdr:row>
          <xdr:rowOff>19050</xdr:rowOff>
        </xdr:from>
        <xdr:to>
          <xdr:col>11</xdr:col>
          <xdr:colOff>0</xdr:colOff>
          <xdr:row>19</xdr:row>
          <xdr:rowOff>219075</xdr:rowOff>
        </xdr:to>
        <xdr:sp macro="" textlink="">
          <xdr:nvSpPr>
            <xdr:cNvPr id="1191" name="Drop Down 167" hidden="1">
              <a:extLst>
                <a:ext uri="{63B3BB69-23CF-44E3-9099-C40C66FF867C}">
                  <a14:compatExt spid="_x0000_s1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20</xdr:row>
          <xdr:rowOff>19050</xdr:rowOff>
        </xdr:from>
        <xdr:to>
          <xdr:col>11</xdr:col>
          <xdr:colOff>0</xdr:colOff>
          <xdr:row>20</xdr:row>
          <xdr:rowOff>219075</xdr:rowOff>
        </xdr:to>
        <xdr:sp macro="" textlink="">
          <xdr:nvSpPr>
            <xdr:cNvPr id="1192" name="Drop Down 168" hidden="1">
              <a:extLst>
                <a:ext uri="{63B3BB69-23CF-44E3-9099-C40C66FF867C}">
                  <a14:compatExt spid="_x0000_s1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21</xdr:row>
          <xdr:rowOff>19050</xdr:rowOff>
        </xdr:from>
        <xdr:to>
          <xdr:col>11</xdr:col>
          <xdr:colOff>0</xdr:colOff>
          <xdr:row>21</xdr:row>
          <xdr:rowOff>219075</xdr:rowOff>
        </xdr:to>
        <xdr:sp macro="" textlink="">
          <xdr:nvSpPr>
            <xdr:cNvPr id="1193" name="Drop Down 169" hidden="1">
              <a:extLst>
                <a:ext uri="{63B3BB69-23CF-44E3-9099-C40C66FF867C}">
                  <a14:compatExt spid="_x0000_s1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22</xdr:row>
          <xdr:rowOff>19050</xdr:rowOff>
        </xdr:from>
        <xdr:to>
          <xdr:col>11</xdr:col>
          <xdr:colOff>0</xdr:colOff>
          <xdr:row>22</xdr:row>
          <xdr:rowOff>219075</xdr:rowOff>
        </xdr:to>
        <xdr:sp macro="" textlink="">
          <xdr:nvSpPr>
            <xdr:cNvPr id="1194" name="Drop Down 170" hidden="1">
              <a:extLst>
                <a:ext uri="{63B3BB69-23CF-44E3-9099-C40C66FF867C}">
                  <a14:compatExt spid="_x0000_s1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23</xdr:row>
          <xdr:rowOff>19050</xdr:rowOff>
        </xdr:from>
        <xdr:to>
          <xdr:col>11</xdr:col>
          <xdr:colOff>0</xdr:colOff>
          <xdr:row>23</xdr:row>
          <xdr:rowOff>219075</xdr:rowOff>
        </xdr:to>
        <xdr:sp macro="" textlink="">
          <xdr:nvSpPr>
            <xdr:cNvPr id="1195" name="Drop Down 171" hidden="1">
              <a:extLst>
                <a:ext uri="{63B3BB69-23CF-44E3-9099-C40C66FF867C}">
                  <a14:compatExt spid="_x0000_s1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24</xdr:row>
          <xdr:rowOff>19050</xdr:rowOff>
        </xdr:from>
        <xdr:to>
          <xdr:col>11</xdr:col>
          <xdr:colOff>0</xdr:colOff>
          <xdr:row>24</xdr:row>
          <xdr:rowOff>219075</xdr:rowOff>
        </xdr:to>
        <xdr:sp macro="" textlink="">
          <xdr:nvSpPr>
            <xdr:cNvPr id="1196" name="Drop Down 172" hidden="1">
              <a:extLst>
                <a:ext uri="{63B3BB69-23CF-44E3-9099-C40C66FF867C}">
                  <a14:compatExt spid="_x0000_s1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27</xdr:row>
          <xdr:rowOff>0</xdr:rowOff>
        </xdr:from>
        <xdr:to>
          <xdr:col>11</xdr:col>
          <xdr:colOff>0</xdr:colOff>
          <xdr:row>27</xdr:row>
          <xdr:rowOff>190500</xdr:rowOff>
        </xdr:to>
        <xdr:sp macro="" textlink="">
          <xdr:nvSpPr>
            <xdr:cNvPr id="1197" name="Drop Down 173" hidden="1">
              <a:extLst>
                <a:ext uri="{63B3BB69-23CF-44E3-9099-C40C66FF867C}">
                  <a14:compatExt spid="_x0000_s1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27</xdr:row>
          <xdr:rowOff>19050</xdr:rowOff>
        </xdr:from>
        <xdr:to>
          <xdr:col>11</xdr:col>
          <xdr:colOff>0</xdr:colOff>
          <xdr:row>27</xdr:row>
          <xdr:rowOff>219075</xdr:rowOff>
        </xdr:to>
        <xdr:sp macro="" textlink="">
          <xdr:nvSpPr>
            <xdr:cNvPr id="1198" name="Drop Down 174" hidden="1">
              <a:extLst>
                <a:ext uri="{63B3BB69-23CF-44E3-9099-C40C66FF867C}">
                  <a14:compatExt spid="_x0000_s1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28</xdr:row>
          <xdr:rowOff>19050</xdr:rowOff>
        </xdr:from>
        <xdr:to>
          <xdr:col>11</xdr:col>
          <xdr:colOff>0</xdr:colOff>
          <xdr:row>28</xdr:row>
          <xdr:rowOff>219075</xdr:rowOff>
        </xdr:to>
        <xdr:sp macro="" textlink="">
          <xdr:nvSpPr>
            <xdr:cNvPr id="1199" name="Drop Down 175" hidden="1">
              <a:extLst>
                <a:ext uri="{63B3BB69-23CF-44E3-9099-C40C66FF867C}">
                  <a14:compatExt spid="_x0000_s1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29</xdr:row>
          <xdr:rowOff>19050</xdr:rowOff>
        </xdr:from>
        <xdr:to>
          <xdr:col>11</xdr:col>
          <xdr:colOff>0</xdr:colOff>
          <xdr:row>29</xdr:row>
          <xdr:rowOff>219075</xdr:rowOff>
        </xdr:to>
        <xdr:sp macro="" textlink="">
          <xdr:nvSpPr>
            <xdr:cNvPr id="1200" name="Drop Down 176" hidden="1">
              <a:extLst>
                <a:ext uri="{63B3BB69-23CF-44E3-9099-C40C66FF867C}">
                  <a14:compatExt spid="_x0000_s1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30</xdr:row>
          <xdr:rowOff>19050</xdr:rowOff>
        </xdr:from>
        <xdr:to>
          <xdr:col>11</xdr:col>
          <xdr:colOff>0</xdr:colOff>
          <xdr:row>30</xdr:row>
          <xdr:rowOff>219075</xdr:rowOff>
        </xdr:to>
        <xdr:sp macro="" textlink="">
          <xdr:nvSpPr>
            <xdr:cNvPr id="1201" name="Drop Down 177" hidden="1">
              <a:extLst>
                <a:ext uri="{63B3BB69-23CF-44E3-9099-C40C66FF867C}">
                  <a14:compatExt spid="_x0000_s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31</xdr:row>
          <xdr:rowOff>19050</xdr:rowOff>
        </xdr:from>
        <xdr:to>
          <xdr:col>11</xdr:col>
          <xdr:colOff>0</xdr:colOff>
          <xdr:row>31</xdr:row>
          <xdr:rowOff>219075</xdr:rowOff>
        </xdr:to>
        <xdr:sp macro="" textlink="">
          <xdr:nvSpPr>
            <xdr:cNvPr id="1202" name="Drop Down 178" hidden="1">
              <a:extLst>
                <a:ext uri="{63B3BB69-23CF-44E3-9099-C40C66FF867C}">
                  <a14:compatExt spid="_x0000_s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32</xdr:row>
          <xdr:rowOff>19050</xdr:rowOff>
        </xdr:from>
        <xdr:to>
          <xdr:col>11</xdr:col>
          <xdr:colOff>0</xdr:colOff>
          <xdr:row>32</xdr:row>
          <xdr:rowOff>219075</xdr:rowOff>
        </xdr:to>
        <xdr:sp macro="" textlink="">
          <xdr:nvSpPr>
            <xdr:cNvPr id="1203" name="Drop Down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33</xdr:row>
          <xdr:rowOff>19050</xdr:rowOff>
        </xdr:from>
        <xdr:to>
          <xdr:col>11</xdr:col>
          <xdr:colOff>0</xdr:colOff>
          <xdr:row>33</xdr:row>
          <xdr:rowOff>219075</xdr:rowOff>
        </xdr:to>
        <xdr:sp macro="" textlink="">
          <xdr:nvSpPr>
            <xdr:cNvPr id="1204" name="Drop Down 180" hidden="1">
              <a:extLst>
                <a:ext uri="{63B3BB69-23CF-44E3-9099-C40C66FF867C}">
                  <a14:compatExt spid="_x0000_s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34</xdr:row>
          <xdr:rowOff>19050</xdr:rowOff>
        </xdr:from>
        <xdr:to>
          <xdr:col>11</xdr:col>
          <xdr:colOff>0</xdr:colOff>
          <xdr:row>34</xdr:row>
          <xdr:rowOff>219075</xdr:rowOff>
        </xdr:to>
        <xdr:sp macro="" textlink="">
          <xdr:nvSpPr>
            <xdr:cNvPr id="1205" name="Drop Down 181" hidden="1">
              <a:extLst>
                <a:ext uri="{63B3BB69-23CF-44E3-9099-C40C66FF867C}">
                  <a14:compatExt spid="_x0000_s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35</xdr:row>
          <xdr:rowOff>19050</xdr:rowOff>
        </xdr:from>
        <xdr:to>
          <xdr:col>11</xdr:col>
          <xdr:colOff>0</xdr:colOff>
          <xdr:row>35</xdr:row>
          <xdr:rowOff>219075</xdr:rowOff>
        </xdr:to>
        <xdr:sp macro="" textlink="">
          <xdr:nvSpPr>
            <xdr:cNvPr id="1206" name="Drop Down 182"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36</xdr:row>
          <xdr:rowOff>19050</xdr:rowOff>
        </xdr:from>
        <xdr:to>
          <xdr:col>11</xdr:col>
          <xdr:colOff>0</xdr:colOff>
          <xdr:row>36</xdr:row>
          <xdr:rowOff>219075</xdr:rowOff>
        </xdr:to>
        <xdr:sp macro="" textlink="">
          <xdr:nvSpPr>
            <xdr:cNvPr id="1207" name="Drop Down 183" hidden="1">
              <a:extLst>
                <a:ext uri="{63B3BB69-23CF-44E3-9099-C40C66FF867C}">
                  <a14:compatExt spid="_x0000_s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37</xdr:row>
          <xdr:rowOff>19050</xdr:rowOff>
        </xdr:from>
        <xdr:to>
          <xdr:col>11</xdr:col>
          <xdr:colOff>0</xdr:colOff>
          <xdr:row>37</xdr:row>
          <xdr:rowOff>219075</xdr:rowOff>
        </xdr:to>
        <xdr:sp macro="" textlink="">
          <xdr:nvSpPr>
            <xdr:cNvPr id="1208" name="Drop Down 184" hidden="1">
              <a:extLst>
                <a:ext uri="{63B3BB69-23CF-44E3-9099-C40C66FF867C}">
                  <a14:compatExt spid="_x0000_s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38</xdr:row>
          <xdr:rowOff>19050</xdr:rowOff>
        </xdr:from>
        <xdr:to>
          <xdr:col>11</xdr:col>
          <xdr:colOff>0</xdr:colOff>
          <xdr:row>38</xdr:row>
          <xdr:rowOff>219075</xdr:rowOff>
        </xdr:to>
        <xdr:sp macro="" textlink="">
          <xdr:nvSpPr>
            <xdr:cNvPr id="1209" name="Drop Down 185" hidden="1">
              <a:extLst>
                <a:ext uri="{63B3BB69-23CF-44E3-9099-C40C66FF867C}">
                  <a14:compatExt spid="_x0000_s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39</xdr:row>
          <xdr:rowOff>19050</xdr:rowOff>
        </xdr:from>
        <xdr:to>
          <xdr:col>11</xdr:col>
          <xdr:colOff>0</xdr:colOff>
          <xdr:row>39</xdr:row>
          <xdr:rowOff>219075</xdr:rowOff>
        </xdr:to>
        <xdr:sp macro="" textlink="">
          <xdr:nvSpPr>
            <xdr:cNvPr id="1210" name="Drop Down 186" hidden="1">
              <a:extLst>
                <a:ext uri="{63B3BB69-23CF-44E3-9099-C40C66FF867C}">
                  <a14:compatExt spid="_x0000_s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40</xdr:row>
          <xdr:rowOff>19050</xdr:rowOff>
        </xdr:from>
        <xdr:to>
          <xdr:col>11</xdr:col>
          <xdr:colOff>0</xdr:colOff>
          <xdr:row>40</xdr:row>
          <xdr:rowOff>219075</xdr:rowOff>
        </xdr:to>
        <xdr:sp macro="" textlink="">
          <xdr:nvSpPr>
            <xdr:cNvPr id="1211" name="Drop Down 187" hidden="1">
              <a:extLst>
                <a:ext uri="{63B3BB69-23CF-44E3-9099-C40C66FF867C}">
                  <a14:compatExt spid="_x0000_s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8</xdr:row>
          <xdr:rowOff>19050</xdr:rowOff>
        </xdr:from>
        <xdr:to>
          <xdr:col>11</xdr:col>
          <xdr:colOff>0</xdr:colOff>
          <xdr:row>8</xdr:row>
          <xdr:rowOff>219075</xdr:rowOff>
        </xdr:to>
        <xdr:sp macro="" textlink="">
          <xdr:nvSpPr>
            <xdr:cNvPr id="1212" name="Drop Down 188" hidden="1">
              <a:extLst>
                <a:ext uri="{63B3BB69-23CF-44E3-9099-C40C66FF867C}">
                  <a14:compatExt spid="_x0000_s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0</xdr:rowOff>
        </xdr:from>
        <xdr:to>
          <xdr:col>2</xdr:col>
          <xdr:colOff>1647825</xdr:colOff>
          <xdr:row>15</xdr:row>
          <xdr:rowOff>228600</xdr:rowOff>
        </xdr:to>
        <xdr:sp macro="" textlink="">
          <xdr:nvSpPr>
            <xdr:cNvPr id="1213" name="Check Box 189" hidden="1">
              <a:extLst>
                <a:ext uri="{63B3BB69-23CF-44E3-9099-C40C66FF867C}">
                  <a14:compatExt spid="_x0000_s12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Implement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9525</xdr:rowOff>
        </xdr:from>
        <xdr:to>
          <xdr:col>3</xdr:col>
          <xdr:colOff>19050</xdr:colOff>
          <xdr:row>14</xdr:row>
          <xdr:rowOff>238125</xdr:rowOff>
        </xdr:to>
        <xdr:sp macro="" textlink="">
          <xdr:nvSpPr>
            <xdr:cNvPr id="1216" name="Option Button 192" hidden="1">
              <a:extLst>
                <a:ext uri="{63B3BB69-23CF-44E3-9099-C40C66FF867C}">
                  <a14:compatExt spid="_x0000_s12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Implement SB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76</xdr:row>
          <xdr:rowOff>0</xdr:rowOff>
        </xdr:from>
        <xdr:to>
          <xdr:col>2</xdr:col>
          <xdr:colOff>1447800</xdr:colOff>
          <xdr:row>76</xdr:row>
          <xdr:rowOff>228600</xdr:rowOff>
        </xdr:to>
        <xdr:sp macro="" textlink="">
          <xdr:nvSpPr>
            <xdr:cNvPr id="1218" name="Check Box 194" hidden="1">
              <a:extLst>
                <a:ext uri="{63B3BB69-23CF-44E3-9099-C40C66FF867C}">
                  <a14:compatExt spid="_x0000_s1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61</xdr:row>
          <xdr:rowOff>0</xdr:rowOff>
        </xdr:from>
        <xdr:to>
          <xdr:col>2</xdr:col>
          <xdr:colOff>1314450</xdr:colOff>
          <xdr:row>61</xdr:row>
          <xdr:rowOff>228600</xdr:rowOff>
        </xdr:to>
        <xdr:sp macro="" textlink="">
          <xdr:nvSpPr>
            <xdr:cNvPr id="1221" name="Check Box 197" hidden="1">
              <a:extLst>
                <a:ext uri="{63B3BB69-23CF-44E3-9099-C40C66FF867C}">
                  <a14:compatExt spid="_x0000_s12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61</xdr:row>
          <xdr:rowOff>0</xdr:rowOff>
        </xdr:from>
        <xdr:to>
          <xdr:col>2</xdr:col>
          <xdr:colOff>2000250</xdr:colOff>
          <xdr:row>61</xdr:row>
          <xdr:rowOff>209550</xdr:rowOff>
        </xdr:to>
        <xdr:sp macro="" textlink="">
          <xdr:nvSpPr>
            <xdr:cNvPr id="1222" name="Drop Down 198" hidden="1">
              <a:extLst>
                <a:ext uri="{63B3BB69-23CF-44E3-9099-C40C66FF867C}">
                  <a14:compatExt spid="_x0000_s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88</xdr:row>
          <xdr:rowOff>0</xdr:rowOff>
        </xdr:from>
        <xdr:to>
          <xdr:col>2</xdr:col>
          <xdr:colOff>1314450</xdr:colOff>
          <xdr:row>88</xdr:row>
          <xdr:rowOff>228600</xdr:rowOff>
        </xdr:to>
        <xdr:sp macro="" textlink="">
          <xdr:nvSpPr>
            <xdr:cNvPr id="1223" name="Check Box 199" hidden="1">
              <a:extLst>
                <a:ext uri="{63B3BB69-23CF-44E3-9099-C40C66FF867C}">
                  <a14:compatExt spid="_x0000_s12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88</xdr:row>
          <xdr:rowOff>0</xdr:rowOff>
        </xdr:from>
        <xdr:to>
          <xdr:col>2</xdr:col>
          <xdr:colOff>2000250</xdr:colOff>
          <xdr:row>88</xdr:row>
          <xdr:rowOff>209550</xdr:rowOff>
        </xdr:to>
        <xdr:sp macro="" textlink="">
          <xdr:nvSpPr>
            <xdr:cNvPr id="1224" name="Drop Down 200" hidden="1">
              <a:extLst>
                <a:ext uri="{63B3BB69-23CF-44E3-9099-C40C66FF867C}">
                  <a14:compatExt spid="_x0000_s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89</xdr:row>
          <xdr:rowOff>0</xdr:rowOff>
        </xdr:from>
        <xdr:to>
          <xdr:col>2</xdr:col>
          <xdr:colOff>1314450</xdr:colOff>
          <xdr:row>89</xdr:row>
          <xdr:rowOff>228600</xdr:rowOff>
        </xdr:to>
        <xdr:sp macro="" textlink="">
          <xdr:nvSpPr>
            <xdr:cNvPr id="1225" name="Check Box 201" hidden="1">
              <a:extLst>
                <a:ext uri="{63B3BB69-23CF-44E3-9099-C40C66FF867C}">
                  <a14:compatExt spid="_x0000_s12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89</xdr:row>
          <xdr:rowOff>0</xdr:rowOff>
        </xdr:from>
        <xdr:to>
          <xdr:col>2</xdr:col>
          <xdr:colOff>2000250</xdr:colOff>
          <xdr:row>89</xdr:row>
          <xdr:rowOff>209550</xdr:rowOff>
        </xdr:to>
        <xdr:sp macro="" textlink="">
          <xdr:nvSpPr>
            <xdr:cNvPr id="1226" name="Drop Down 202" hidden="1">
              <a:extLst>
                <a:ext uri="{63B3BB69-23CF-44E3-9099-C40C66FF867C}">
                  <a14:compatExt spid="_x0000_s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90</xdr:row>
          <xdr:rowOff>0</xdr:rowOff>
        </xdr:from>
        <xdr:to>
          <xdr:col>2</xdr:col>
          <xdr:colOff>1314450</xdr:colOff>
          <xdr:row>90</xdr:row>
          <xdr:rowOff>228600</xdr:rowOff>
        </xdr:to>
        <xdr:sp macro="" textlink="">
          <xdr:nvSpPr>
            <xdr:cNvPr id="1227" name="Check Box 203" hidden="1">
              <a:extLst>
                <a:ext uri="{63B3BB69-23CF-44E3-9099-C40C66FF867C}">
                  <a14:compatExt spid="_x0000_s12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90</xdr:row>
          <xdr:rowOff>0</xdr:rowOff>
        </xdr:from>
        <xdr:to>
          <xdr:col>2</xdr:col>
          <xdr:colOff>2000250</xdr:colOff>
          <xdr:row>90</xdr:row>
          <xdr:rowOff>209550</xdr:rowOff>
        </xdr:to>
        <xdr:sp macro="" textlink="">
          <xdr:nvSpPr>
            <xdr:cNvPr id="1228" name="Drop Down 204" hidden="1">
              <a:extLst>
                <a:ext uri="{63B3BB69-23CF-44E3-9099-C40C66FF867C}">
                  <a14:compatExt spid="_x0000_s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92</xdr:row>
          <xdr:rowOff>0</xdr:rowOff>
        </xdr:from>
        <xdr:to>
          <xdr:col>2</xdr:col>
          <xdr:colOff>1314450</xdr:colOff>
          <xdr:row>92</xdr:row>
          <xdr:rowOff>228600</xdr:rowOff>
        </xdr:to>
        <xdr:sp macro="" textlink="">
          <xdr:nvSpPr>
            <xdr:cNvPr id="1231" name="Check Box 207" hidden="1">
              <a:extLst>
                <a:ext uri="{63B3BB69-23CF-44E3-9099-C40C66FF867C}">
                  <a14:compatExt spid="_x0000_s12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92</xdr:row>
          <xdr:rowOff>0</xdr:rowOff>
        </xdr:from>
        <xdr:to>
          <xdr:col>2</xdr:col>
          <xdr:colOff>2000250</xdr:colOff>
          <xdr:row>92</xdr:row>
          <xdr:rowOff>209550</xdr:rowOff>
        </xdr:to>
        <xdr:sp macro="" textlink="">
          <xdr:nvSpPr>
            <xdr:cNvPr id="1232" name="Drop Down 208" hidden="1">
              <a:extLst>
                <a:ext uri="{63B3BB69-23CF-44E3-9099-C40C66FF867C}">
                  <a14:compatExt spid="_x0000_s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102</xdr:row>
          <xdr:rowOff>0</xdr:rowOff>
        </xdr:from>
        <xdr:to>
          <xdr:col>2</xdr:col>
          <xdr:colOff>1390650</xdr:colOff>
          <xdr:row>102</xdr:row>
          <xdr:rowOff>228600</xdr:rowOff>
        </xdr:to>
        <xdr:sp macro="" textlink="">
          <xdr:nvSpPr>
            <xdr:cNvPr id="1234" name="Check Box 210" hidden="1">
              <a:extLst>
                <a:ext uri="{63B3BB69-23CF-44E3-9099-C40C66FF867C}">
                  <a14:compatExt spid="_x0000_s12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Implement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103</xdr:row>
          <xdr:rowOff>0</xdr:rowOff>
        </xdr:from>
        <xdr:to>
          <xdr:col>2</xdr:col>
          <xdr:colOff>1390650</xdr:colOff>
          <xdr:row>103</xdr:row>
          <xdr:rowOff>228600</xdr:rowOff>
        </xdr:to>
        <xdr:sp macro="" textlink="">
          <xdr:nvSpPr>
            <xdr:cNvPr id="1235" name="Check Box 211" hidden="1">
              <a:extLst>
                <a:ext uri="{63B3BB69-23CF-44E3-9099-C40C66FF867C}">
                  <a14:compatExt spid="_x0000_s12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Implement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742950</xdr:colOff>
          <xdr:row>42</xdr:row>
          <xdr:rowOff>9525</xdr:rowOff>
        </xdr:from>
        <xdr:to>
          <xdr:col>3</xdr:col>
          <xdr:colOff>38100</xdr:colOff>
          <xdr:row>42</xdr:row>
          <xdr:rowOff>238125</xdr:rowOff>
        </xdr:to>
        <xdr:sp macro="" textlink="">
          <xdr:nvSpPr>
            <xdr:cNvPr id="1237" name="Check Box 213" hidden="1">
              <a:extLst>
                <a:ext uri="{63B3BB69-23CF-44E3-9099-C40C66FF867C}">
                  <a14:compatExt spid="_x0000_s12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Half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91</xdr:row>
          <xdr:rowOff>0</xdr:rowOff>
        </xdr:from>
        <xdr:to>
          <xdr:col>2</xdr:col>
          <xdr:colOff>1628775</xdr:colOff>
          <xdr:row>91</xdr:row>
          <xdr:rowOff>228600</xdr:rowOff>
        </xdr:to>
        <xdr:sp macro="" textlink="">
          <xdr:nvSpPr>
            <xdr:cNvPr id="1238" name="Check Box 214" hidden="1">
              <a:extLst>
                <a:ext uri="{63B3BB69-23CF-44E3-9099-C40C66FF867C}">
                  <a14:compatExt spid="_x0000_s12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3714750</xdr:colOff>
          <xdr:row>37</xdr:row>
          <xdr:rowOff>0</xdr:rowOff>
        </xdr:from>
        <xdr:to>
          <xdr:col>2</xdr:col>
          <xdr:colOff>1533525</xdr:colOff>
          <xdr:row>37</xdr:row>
          <xdr:rowOff>228600</xdr:rowOff>
        </xdr:to>
        <xdr:sp macro="" textlink="">
          <xdr:nvSpPr>
            <xdr:cNvPr id="1240" name="Check Box 216" hidden="1">
              <a:extLst>
                <a:ext uri="{63B3BB69-23CF-44E3-9099-C40C66FF867C}">
                  <a14:compatExt spid="_x0000_s1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Remove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xdr:row>
          <xdr:rowOff>0</xdr:rowOff>
        </xdr:from>
        <xdr:to>
          <xdr:col>2</xdr:col>
          <xdr:colOff>1447800</xdr:colOff>
          <xdr:row>49</xdr:row>
          <xdr:rowOff>228600</xdr:rowOff>
        </xdr:to>
        <xdr:sp macro="" textlink="">
          <xdr:nvSpPr>
            <xdr:cNvPr id="1242" name="Check Box 218" hidden="1">
              <a:extLst>
                <a:ext uri="{63B3BB69-23CF-44E3-9099-C40C66FF867C}">
                  <a14:compatExt spid="_x0000_s1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23</xdr:col>
      <xdr:colOff>838199</xdr:colOff>
      <xdr:row>104</xdr:row>
      <xdr:rowOff>95250</xdr:rowOff>
    </xdr:from>
    <xdr:to>
      <xdr:col>47</xdr:col>
      <xdr:colOff>609599</xdr:colOff>
      <xdr:row>122</xdr:row>
      <xdr:rowOff>57150</xdr:rowOff>
    </xdr:to>
    <xdr:sp macro="" textlink="">
      <xdr:nvSpPr>
        <xdr:cNvPr id="2" name="TextBox 1"/>
        <xdr:cNvSpPr txBox="1"/>
      </xdr:nvSpPr>
      <xdr:spPr>
        <a:xfrm>
          <a:off x="20954999" y="19992975"/>
          <a:ext cx="14830425" cy="3238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000" b="1" u="sng">
              <a:solidFill>
                <a:srgbClr val="FF0000"/>
              </a:solidFill>
            </a:rPr>
            <a:t>Under</a:t>
          </a:r>
          <a:r>
            <a:rPr lang="en-US" sz="4000" b="1" u="sng" baseline="0">
              <a:solidFill>
                <a:srgbClr val="FF0000"/>
              </a:solidFill>
            </a:rPr>
            <a:t> Construction</a:t>
          </a:r>
        </a:p>
        <a:p>
          <a:pPr algn="l"/>
          <a:r>
            <a:rPr lang="en-US" sz="4000" b="0" baseline="0">
              <a:solidFill>
                <a:srgbClr val="FF0000"/>
              </a:solidFill>
            </a:rPr>
            <a:t>-If a tax regime is missing please email Wyatt Perry (wyatt.perry@alaska.gov) and he will add it to the master file.</a:t>
          </a:r>
        </a:p>
        <a:p>
          <a:pPr algn="l"/>
          <a:endParaRPr lang="en-US" sz="4000" b="0" baseline="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57150</xdr:colOff>
          <xdr:row>0</xdr:row>
          <xdr:rowOff>47625</xdr:rowOff>
        </xdr:from>
        <xdr:to>
          <xdr:col>9</xdr:col>
          <xdr:colOff>257175</xdr:colOff>
          <xdr:row>3</xdr:row>
          <xdr:rowOff>142875</xdr:rowOff>
        </xdr:to>
        <xdr:sp macro="" textlink="">
          <xdr:nvSpPr>
            <xdr:cNvPr id="51201" name="Object 1" hidden="1">
              <a:extLst>
                <a:ext uri="{63B3BB69-23CF-44E3-9099-C40C66FF867C}">
                  <a14:compatExt spid="_x0000_s5120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504825</xdr:colOff>
          <xdr:row>54</xdr:row>
          <xdr:rowOff>171450</xdr:rowOff>
        </xdr:from>
        <xdr:to>
          <xdr:col>14</xdr:col>
          <xdr:colOff>9525</xdr:colOff>
          <xdr:row>56</xdr:row>
          <xdr:rowOff>28575</xdr:rowOff>
        </xdr:to>
        <xdr:sp macro="" textlink="">
          <xdr:nvSpPr>
            <xdr:cNvPr id="75778" name="Drop Down 2" hidden="1">
              <a:extLst>
                <a:ext uri="{63B3BB69-23CF-44E3-9099-C40C66FF867C}">
                  <a14:compatExt spid="_x0000_s7577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FS/FY2014/Statements/FIN%2020140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ranc-ntap1\FIN\FS\FY2014\Statements\FIN%2020140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fc\apfc\shared\Fin\FS\FY2010\Statements\FIN%2020100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F"/>
      <sheetName val="AMHT"/>
      <sheetName val="Recon"/>
      <sheetName val="BiTechData"/>
      <sheetName val="High Precision Test"/>
      <sheetName val="CPI"/>
      <sheetName val="RevenueForecast"/>
      <sheetName val="Proj FYE"/>
      <sheetName val="Mid-YR  Res"/>
      <sheetName val="YR End Res"/>
      <sheetName val="Instructions"/>
    </sheetNames>
    <sheetDataSet>
      <sheetData sheetId="0">
        <row r="1">
          <cell r="P1">
            <v>1000000</v>
          </cell>
        </row>
      </sheetData>
      <sheetData sheetId="1"/>
      <sheetData sheetId="2"/>
      <sheetData sheetId="3">
        <row r="1">
          <cell r="A1">
            <v>41729</v>
          </cell>
          <cell r="B1" t="str">
            <v>APFC Current</v>
          </cell>
          <cell r="C1" t="str">
            <v>APFC Total</v>
          </cell>
          <cell r="D1" t="str">
            <v>AMHT Current</v>
          </cell>
          <cell r="E1" t="str">
            <v>AMHT Total</v>
          </cell>
        </row>
        <row r="2">
          <cell r="A2" t="str">
            <v>1. End of period</v>
          </cell>
          <cell r="B2">
            <v>0</v>
          </cell>
          <cell r="C2">
            <v>50399323492.07</v>
          </cell>
          <cell r="D2">
            <v>0</v>
          </cell>
          <cell r="E2">
            <v>444389500.60000002</v>
          </cell>
        </row>
        <row r="3">
          <cell r="A3" t="str">
            <v>2. 11400 State Dedicated Revenues</v>
          </cell>
          <cell r="B3">
            <v>0</v>
          </cell>
          <cell r="C3">
            <v>35858391.960000001</v>
          </cell>
          <cell r="D3">
            <v>0</v>
          </cell>
          <cell r="E3">
            <v>0</v>
          </cell>
        </row>
        <row r="4">
          <cell r="A4" t="str">
            <v>3. 13990 RE GASB 31 MV</v>
          </cell>
          <cell r="B4">
            <v>0</v>
          </cell>
          <cell r="C4">
            <v>0</v>
          </cell>
          <cell r="D4">
            <v>0</v>
          </cell>
          <cell r="E4">
            <v>0</v>
          </cell>
        </row>
        <row r="5">
          <cell r="A5" t="str">
            <v>4. Legislative Appropriations Payable</v>
          </cell>
          <cell r="B5">
            <v>0</v>
          </cell>
          <cell r="C5">
            <v>0</v>
          </cell>
          <cell r="D5">
            <v>0</v>
          </cell>
          <cell r="E5">
            <v>0</v>
          </cell>
        </row>
        <row r="6">
          <cell r="A6" t="str">
            <v>5. July Legislative Appropriations Payable</v>
          </cell>
          <cell r="B6">
            <v>0</v>
          </cell>
          <cell r="C6">
            <v>0</v>
          </cell>
          <cell r="D6">
            <v>0</v>
          </cell>
          <cell r="E6">
            <v>0</v>
          </cell>
        </row>
        <row r="7">
          <cell r="A7" t="str">
            <v>Absolute Return bs</v>
          </cell>
          <cell r="B7">
            <v>0</v>
          </cell>
          <cell r="C7">
            <v>2704593299.0100002</v>
          </cell>
          <cell r="D7">
            <v>0</v>
          </cell>
          <cell r="E7">
            <v>24142752.010000002</v>
          </cell>
        </row>
        <row r="8">
          <cell r="A8" t="str">
            <v>Absolute Return is</v>
          </cell>
          <cell r="B8">
            <v>25237148.789999999</v>
          </cell>
          <cell r="C8">
            <v>109855985.22</v>
          </cell>
          <cell r="D8">
            <v>222905.03</v>
          </cell>
          <cell r="E8">
            <v>1005149.23</v>
          </cell>
        </row>
        <row r="9">
          <cell r="A9" t="str">
            <v>Accounts payable bs</v>
          </cell>
          <cell r="B9">
            <v>0</v>
          </cell>
          <cell r="C9">
            <v>709993691.17999995</v>
          </cell>
          <cell r="D9">
            <v>0</v>
          </cell>
          <cell r="E9">
            <v>6523703.1900000004</v>
          </cell>
        </row>
        <row r="10">
          <cell r="A10" t="str">
            <v>Alaska certificates of deposit</v>
          </cell>
          <cell r="B10">
            <v>0</v>
          </cell>
          <cell r="C10">
            <v>0</v>
          </cell>
          <cell r="D10">
            <v>0</v>
          </cell>
          <cell r="E10">
            <v>0</v>
          </cell>
        </row>
        <row r="11">
          <cell r="A11" t="str">
            <v>Alternative Investments cost</v>
          </cell>
          <cell r="B11">
            <v>0</v>
          </cell>
          <cell r="C11">
            <v>10434206178.209999</v>
          </cell>
          <cell r="D11">
            <v>0</v>
          </cell>
          <cell r="E11">
            <v>95873618.069999993</v>
          </cell>
        </row>
        <row r="12">
          <cell r="A12" t="str">
            <v>Beginning of period</v>
          </cell>
          <cell r="B12">
            <v>0</v>
          </cell>
          <cell r="C12">
            <v>44853334386.860001</v>
          </cell>
          <cell r="D12">
            <v>0</v>
          </cell>
          <cell r="E12">
            <v>416993849.18000001</v>
          </cell>
        </row>
        <row r="13">
          <cell r="A13" t="str">
            <v>Cash and temporary investments</v>
          </cell>
          <cell r="B13">
            <v>0</v>
          </cell>
          <cell r="C13">
            <v>2250383231.3800001</v>
          </cell>
          <cell r="D13">
            <v>0</v>
          </cell>
          <cell r="E13">
            <v>20677963.440000001</v>
          </cell>
        </row>
        <row r="14">
          <cell r="A14" t="str">
            <v>Contributions and appropriations</v>
          </cell>
          <cell r="B14">
            <v>0</v>
          </cell>
          <cell r="C14">
            <v>37183854812.910004</v>
          </cell>
          <cell r="D14">
            <v>0</v>
          </cell>
          <cell r="E14">
            <v>344182104.16000003</v>
          </cell>
        </row>
        <row r="15">
          <cell r="A15" t="str">
            <v>Currency</v>
          </cell>
          <cell r="B15">
            <v>1288723.1399999999</v>
          </cell>
          <cell r="C15">
            <v>-73920061.150000006</v>
          </cell>
          <cell r="D15">
            <v>11382.54</v>
          </cell>
          <cell r="E15">
            <v>-682597.31</v>
          </cell>
        </row>
        <row r="16">
          <cell r="A16" t="str">
            <v>Derivative Instruments</v>
          </cell>
          <cell r="B16">
            <v>-4791491.24</v>
          </cell>
          <cell r="C16">
            <v>-11655107.49</v>
          </cell>
          <cell r="D16">
            <v>-42320.46</v>
          </cell>
          <cell r="E16">
            <v>-106052.94</v>
          </cell>
        </row>
        <row r="17">
          <cell r="A17" t="str">
            <v>Distressed Debt bs</v>
          </cell>
          <cell r="B17">
            <v>0</v>
          </cell>
          <cell r="C17">
            <v>1125457903.04</v>
          </cell>
          <cell r="D17">
            <v>0</v>
          </cell>
          <cell r="E17">
            <v>9696202.7300000004</v>
          </cell>
        </row>
        <row r="18">
          <cell r="A18" t="str">
            <v>Distressed Debt is</v>
          </cell>
          <cell r="B18">
            <v>10847069.800000001</v>
          </cell>
          <cell r="C18">
            <v>91087215.030000001</v>
          </cell>
          <cell r="D18">
            <v>95805.85</v>
          </cell>
          <cell r="E18">
            <v>837010.21</v>
          </cell>
        </row>
        <row r="19">
          <cell r="A19" t="str">
            <v>Dividends is</v>
          </cell>
          <cell r="B19">
            <v>69298957.189999998</v>
          </cell>
          <cell r="C19">
            <v>433801523.82999998</v>
          </cell>
          <cell r="D19">
            <v>612077.32999999996</v>
          </cell>
          <cell r="E19">
            <v>3981146.28</v>
          </cell>
        </row>
        <row r="20">
          <cell r="A20" t="str">
            <v>Dividends Receivable</v>
          </cell>
          <cell r="B20">
            <v>0</v>
          </cell>
          <cell r="C20">
            <v>53672243.310000002</v>
          </cell>
          <cell r="D20">
            <v>0</v>
          </cell>
          <cell r="E20">
            <v>493161.82</v>
          </cell>
        </row>
        <row r="21">
          <cell r="A21" t="str">
            <v>Emerging is</v>
          </cell>
          <cell r="B21">
            <v>8619740.0199999996</v>
          </cell>
          <cell r="C21">
            <v>26000351.469999999</v>
          </cell>
          <cell r="D21">
            <v>76133.149999999994</v>
          </cell>
          <cell r="E21">
            <v>236654.17</v>
          </cell>
        </row>
        <row r="22">
          <cell r="A22" t="str">
            <v>Emerging Markets bs</v>
          </cell>
          <cell r="B22">
            <v>0</v>
          </cell>
          <cell r="C22">
            <v>850090168.65999997</v>
          </cell>
          <cell r="D22">
            <v>0</v>
          </cell>
          <cell r="E22">
            <v>7993974.5499999998</v>
          </cell>
        </row>
        <row r="23">
          <cell r="A23" t="str">
            <v>End of period</v>
          </cell>
          <cell r="B23">
            <v>0</v>
          </cell>
          <cell r="C23">
            <v>50399323492.07</v>
          </cell>
          <cell r="D23">
            <v>0</v>
          </cell>
          <cell r="E23">
            <v>444389500.60000002</v>
          </cell>
        </row>
        <row r="24">
          <cell r="A24" t="str">
            <v>Equities Cost</v>
          </cell>
          <cell r="B24">
            <v>0</v>
          </cell>
          <cell r="C24">
            <v>17738767484.16</v>
          </cell>
          <cell r="D24">
            <v>0</v>
          </cell>
          <cell r="E24">
            <v>162990819.72</v>
          </cell>
        </row>
        <row r="25">
          <cell r="A25" t="str">
            <v>Excess (deficiency) of revenue over expenditures</v>
          </cell>
          <cell r="B25">
            <v>288938461.37</v>
          </cell>
          <cell r="C25">
            <v>4977342857.3800001</v>
          </cell>
          <cell r="D25">
            <v>2552025.13</v>
          </cell>
          <cell r="E25">
            <v>45888551.420000002</v>
          </cell>
        </row>
        <row r="26">
          <cell r="A26" t="str">
            <v>FNBA</v>
          </cell>
          <cell r="B26">
            <v>0</v>
          </cell>
          <cell r="C26">
            <v>118405.84</v>
          </cell>
          <cell r="D26">
            <v>0</v>
          </cell>
          <cell r="E26">
            <v>0</v>
          </cell>
        </row>
        <row r="27">
          <cell r="A27" t="str">
            <v>Foreign Exchange Contracts Payable</v>
          </cell>
          <cell r="B27">
            <v>0</v>
          </cell>
          <cell r="C27">
            <v>0</v>
          </cell>
          <cell r="D27">
            <v>0</v>
          </cell>
          <cell r="E27">
            <v>-0.01</v>
          </cell>
        </row>
        <row r="28">
          <cell r="A28" t="str">
            <v>Foreign Exchange Contracts Receivable</v>
          </cell>
          <cell r="B28">
            <v>0</v>
          </cell>
          <cell r="C28">
            <v>-0.01</v>
          </cell>
          <cell r="D28">
            <v>0</v>
          </cell>
          <cell r="E28">
            <v>0</v>
          </cell>
        </row>
        <row r="29">
          <cell r="A29" t="str">
            <v>Futures UGL Recon Adj</v>
          </cell>
          <cell r="B29">
            <v>0</v>
          </cell>
          <cell r="C29">
            <v>0</v>
          </cell>
          <cell r="D29">
            <v>0</v>
          </cell>
          <cell r="E29">
            <v>0</v>
          </cell>
        </row>
        <row r="30">
          <cell r="A30" t="str">
            <v>Income distributable to the State of Alaska</v>
          </cell>
          <cell r="B30">
            <v>0</v>
          </cell>
          <cell r="C30">
            <v>0</v>
          </cell>
          <cell r="D30">
            <v>0</v>
          </cell>
          <cell r="E30">
            <v>0</v>
          </cell>
        </row>
        <row r="31">
          <cell r="A31" t="str">
            <v>Infrastructure bs</v>
          </cell>
          <cell r="B31">
            <v>0</v>
          </cell>
          <cell r="C31">
            <v>1302290283.1199999</v>
          </cell>
          <cell r="D31">
            <v>0</v>
          </cell>
          <cell r="E31">
            <v>11750822.6</v>
          </cell>
        </row>
        <row r="32">
          <cell r="A32" t="str">
            <v>Infrastructure is</v>
          </cell>
          <cell r="B32">
            <v>67572857.159999996</v>
          </cell>
          <cell r="C32">
            <v>94955660.859999999</v>
          </cell>
          <cell r="D32">
            <v>596831.68999999994</v>
          </cell>
          <cell r="E32">
            <v>850669.92</v>
          </cell>
        </row>
        <row r="33">
          <cell r="A33" t="str">
            <v>Interest is</v>
          </cell>
          <cell r="B33">
            <v>23459510.34</v>
          </cell>
          <cell r="C33">
            <v>200624030.94</v>
          </cell>
          <cell r="D33">
            <v>207204.19</v>
          </cell>
          <cell r="E33">
            <v>1844239.48</v>
          </cell>
        </row>
        <row r="34">
          <cell r="A34" t="str">
            <v>Interest Receivable</v>
          </cell>
          <cell r="B34">
            <v>0</v>
          </cell>
          <cell r="C34">
            <v>67141905.189999998</v>
          </cell>
          <cell r="D34">
            <v>0</v>
          </cell>
          <cell r="E34">
            <v>616926.41</v>
          </cell>
        </row>
        <row r="35">
          <cell r="A35" t="str">
            <v>Legislative appropriations</v>
          </cell>
          <cell r="B35">
            <v>0</v>
          </cell>
          <cell r="C35">
            <v>-7141700</v>
          </cell>
          <cell r="D35">
            <v>0</v>
          </cell>
          <cell r="E35">
            <v>0</v>
          </cell>
        </row>
        <row r="36">
          <cell r="A36" t="str">
            <v>Marketable debt securities</v>
          </cell>
          <cell r="B36">
            <v>-17237163.600000001</v>
          </cell>
          <cell r="C36">
            <v>115604969.45999999</v>
          </cell>
          <cell r="D36">
            <v>-152245.82999999999</v>
          </cell>
          <cell r="E36">
            <v>1069864.8899999999</v>
          </cell>
        </row>
        <row r="37">
          <cell r="A37" t="str">
            <v>Marketable debt securities bs</v>
          </cell>
          <cell r="B37">
            <v>0</v>
          </cell>
          <cell r="C37">
            <v>9581542711.7900009</v>
          </cell>
          <cell r="D37">
            <v>0</v>
          </cell>
          <cell r="E37">
            <v>87856915.230000004</v>
          </cell>
        </row>
        <row r="38">
          <cell r="A38" t="str">
            <v>MDS Cost</v>
          </cell>
          <cell r="B38">
            <v>0</v>
          </cell>
          <cell r="C38">
            <v>9511079089.2099991</v>
          </cell>
          <cell r="D38">
            <v>0</v>
          </cell>
          <cell r="E38">
            <v>87391560.799999997</v>
          </cell>
        </row>
        <row r="39">
          <cell r="A39" t="str">
            <v>Mezzanine Debt bs</v>
          </cell>
          <cell r="B39">
            <v>0</v>
          </cell>
          <cell r="C39">
            <v>223286594.91</v>
          </cell>
          <cell r="D39">
            <v>0</v>
          </cell>
          <cell r="E39">
            <v>2064162.28</v>
          </cell>
        </row>
        <row r="40">
          <cell r="A40" t="str">
            <v>Mezzanine Debt is</v>
          </cell>
          <cell r="B40">
            <v>-624250.26</v>
          </cell>
          <cell r="C40">
            <v>7334508.54</v>
          </cell>
          <cell r="D40">
            <v>-5513.64</v>
          </cell>
          <cell r="E40">
            <v>67759.490000000005</v>
          </cell>
        </row>
        <row r="41">
          <cell r="A41" t="str">
            <v>Net change in fund balances</v>
          </cell>
          <cell r="B41">
            <v>346823886</v>
          </cell>
          <cell r="C41">
            <v>5545989105.1999998</v>
          </cell>
          <cell r="D41">
            <v>2552025.13</v>
          </cell>
          <cell r="E41">
            <v>27395651.420000002</v>
          </cell>
        </row>
        <row r="42">
          <cell r="A42" t="str">
            <v>Operating Accrued Payables</v>
          </cell>
          <cell r="B42">
            <v>0</v>
          </cell>
          <cell r="C42">
            <v>29740157.18</v>
          </cell>
          <cell r="D42">
            <v>0</v>
          </cell>
          <cell r="E42">
            <v>273264.36</v>
          </cell>
        </row>
        <row r="43">
          <cell r="A43" t="str">
            <v>Operating expenditures</v>
          </cell>
          <cell r="B43">
            <v>-7495375.2300000004</v>
          </cell>
          <cell r="C43">
            <v>-75538260.879999995</v>
          </cell>
          <cell r="D43">
            <v>-66202.3</v>
          </cell>
          <cell r="E43">
            <v>-694790.85</v>
          </cell>
        </row>
        <row r="44">
          <cell r="A44" t="str">
            <v>Pending Purch. Alt. Investmnt</v>
          </cell>
          <cell r="B44">
            <v>0</v>
          </cell>
          <cell r="C44">
            <v>2073898.89</v>
          </cell>
          <cell r="D44">
            <v>0</v>
          </cell>
          <cell r="E44">
            <v>19055.8</v>
          </cell>
        </row>
        <row r="45">
          <cell r="A45" t="str">
            <v>Pending Purchase Equities</v>
          </cell>
          <cell r="B45">
            <v>0</v>
          </cell>
          <cell r="C45">
            <v>92574470.519999996</v>
          </cell>
          <cell r="D45">
            <v>0</v>
          </cell>
          <cell r="E45">
            <v>850610.89</v>
          </cell>
        </row>
        <row r="46">
          <cell r="A46" t="str">
            <v>Pending Purchase Fixed Income</v>
          </cell>
          <cell r="B46">
            <v>0</v>
          </cell>
          <cell r="C46">
            <v>585173716.72000003</v>
          </cell>
          <cell r="D46">
            <v>0</v>
          </cell>
          <cell r="E46">
            <v>5376807.8300000001</v>
          </cell>
        </row>
        <row r="47">
          <cell r="A47" t="str">
            <v>Pending Purchase Real Estate</v>
          </cell>
          <cell r="B47">
            <v>0</v>
          </cell>
          <cell r="C47">
            <v>431447.87</v>
          </cell>
          <cell r="D47">
            <v>0</v>
          </cell>
          <cell r="E47">
            <v>3964.32</v>
          </cell>
        </row>
        <row r="48">
          <cell r="A48" t="str">
            <v>Pending Sale of Alt. Investmnt</v>
          </cell>
          <cell r="B48">
            <v>0</v>
          </cell>
          <cell r="C48">
            <v>1680377.93</v>
          </cell>
          <cell r="D48">
            <v>0</v>
          </cell>
          <cell r="E48">
            <v>15439.98</v>
          </cell>
        </row>
        <row r="49">
          <cell r="A49" t="str">
            <v>Pending Sales Equities</v>
          </cell>
          <cell r="B49">
            <v>0</v>
          </cell>
          <cell r="C49">
            <v>65441857.390000001</v>
          </cell>
          <cell r="D49">
            <v>0</v>
          </cell>
          <cell r="E49">
            <v>601305.68999999994</v>
          </cell>
        </row>
        <row r="50">
          <cell r="A50" t="str">
            <v>Pending Sales Fixed Income</v>
          </cell>
          <cell r="B50">
            <v>0</v>
          </cell>
          <cell r="C50">
            <v>51248041.420000002</v>
          </cell>
          <cell r="D50">
            <v>0</v>
          </cell>
          <cell r="E50">
            <v>470887.3</v>
          </cell>
        </row>
        <row r="51">
          <cell r="A51" t="str">
            <v>Pending Sales Real Estate</v>
          </cell>
          <cell r="B51">
            <v>0</v>
          </cell>
          <cell r="C51">
            <v>175968.7</v>
          </cell>
          <cell r="D51">
            <v>0</v>
          </cell>
          <cell r="E51">
            <v>1616.88</v>
          </cell>
        </row>
        <row r="52">
          <cell r="A52" t="str">
            <v>Period</v>
          </cell>
          <cell r="B52">
            <v>0</v>
          </cell>
          <cell r="C52">
            <v>9</v>
          </cell>
          <cell r="D52">
            <v>0</v>
          </cell>
          <cell r="E52">
            <v>9</v>
          </cell>
        </row>
        <row r="53">
          <cell r="A53" t="str">
            <v>Preferred and common stock</v>
          </cell>
          <cell r="B53">
            <v>4978750.74</v>
          </cell>
          <cell r="C53">
            <v>3225631247.1100001</v>
          </cell>
          <cell r="D53">
            <v>43974.41</v>
          </cell>
          <cell r="E53">
            <v>29758046.870000001</v>
          </cell>
        </row>
        <row r="54">
          <cell r="A54" t="str">
            <v>Preferred and common stock bs</v>
          </cell>
          <cell r="B54">
            <v>0</v>
          </cell>
          <cell r="C54">
            <v>22015327667.84</v>
          </cell>
          <cell r="D54">
            <v>0</v>
          </cell>
          <cell r="E54">
            <v>191233992.06</v>
          </cell>
        </row>
        <row r="55">
          <cell r="A55" t="str">
            <v>Prepaid and Other Receivables</v>
          </cell>
          <cell r="B55">
            <v>0</v>
          </cell>
          <cell r="C55">
            <v>0</v>
          </cell>
          <cell r="D55">
            <v>0</v>
          </cell>
          <cell r="E55">
            <v>0</v>
          </cell>
        </row>
        <row r="56">
          <cell r="A56" t="str">
            <v>Private Equity bs</v>
          </cell>
          <cell r="B56">
            <v>0</v>
          </cell>
          <cell r="C56">
            <v>2858666105.7199998</v>
          </cell>
          <cell r="D56">
            <v>0</v>
          </cell>
          <cell r="E56">
            <v>25348383.890000001</v>
          </cell>
        </row>
        <row r="57">
          <cell r="A57" t="str">
            <v>Private Equity is</v>
          </cell>
          <cell r="B57">
            <v>67037864.219999999</v>
          </cell>
          <cell r="C57">
            <v>327748055.26999998</v>
          </cell>
          <cell r="D57">
            <v>592106.41</v>
          </cell>
          <cell r="E57">
            <v>3002118.72</v>
          </cell>
        </row>
        <row r="58">
          <cell r="A58" t="str">
            <v>RE Cost</v>
          </cell>
          <cell r="B58">
            <v>0</v>
          </cell>
          <cell r="C58">
            <v>3790926424.5599999</v>
          </cell>
          <cell r="D58">
            <v>0</v>
          </cell>
          <cell r="E58">
            <v>34832533.109999999</v>
          </cell>
        </row>
        <row r="59">
          <cell r="A59" t="str">
            <v>Real estate</v>
          </cell>
          <cell r="B59">
            <v>13400975.939999999</v>
          </cell>
          <cell r="C59">
            <v>152192241.59999999</v>
          </cell>
          <cell r="D59">
            <v>118363.02</v>
          </cell>
          <cell r="E59">
            <v>1399986.89</v>
          </cell>
        </row>
        <row r="60">
          <cell r="A60" t="str">
            <v>Real estate and other income</v>
          </cell>
          <cell r="B60">
            <v>17413830.16</v>
          </cell>
          <cell r="C60">
            <v>182552323.87</v>
          </cell>
          <cell r="D60">
            <v>153806.22</v>
          </cell>
          <cell r="E60">
            <v>1680663.63</v>
          </cell>
        </row>
        <row r="61">
          <cell r="A61" t="str">
            <v>Real estate bs</v>
          </cell>
          <cell r="B61">
            <v>0</v>
          </cell>
          <cell r="C61">
            <v>5254025907.21</v>
          </cell>
          <cell r="D61">
            <v>0</v>
          </cell>
          <cell r="E61">
            <v>44495105.149999999</v>
          </cell>
        </row>
        <row r="62">
          <cell r="A62" t="str">
            <v>Real Return bs</v>
          </cell>
          <cell r="B62">
            <v>0</v>
          </cell>
          <cell r="C62">
            <v>2668434524.6599998</v>
          </cell>
          <cell r="D62">
            <v>0</v>
          </cell>
          <cell r="E62">
            <v>23453591.77</v>
          </cell>
        </row>
        <row r="63">
          <cell r="A63" t="str">
            <v>Real Return is</v>
          </cell>
          <cell r="B63">
            <v>9931314.1999999993</v>
          </cell>
          <cell r="C63">
            <v>178209873.69999999</v>
          </cell>
          <cell r="D63">
            <v>87717.52</v>
          </cell>
          <cell r="E63">
            <v>1638682.74</v>
          </cell>
        </row>
        <row r="64">
          <cell r="A64" t="str">
            <v>Realized earnings</v>
          </cell>
          <cell r="B64">
            <v>0</v>
          </cell>
          <cell r="C64">
            <v>4403146012.5200005</v>
          </cell>
          <cell r="D64">
            <v>0</v>
          </cell>
          <cell r="E64">
            <v>53261434.700000003</v>
          </cell>
        </row>
        <row r="65">
          <cell r="A65" t="str">
            <v>Realized earnings ACIF Deficit</v>
          </cell>
          <cell r="B65">
            <v>0</v>
          </cell>
          <cell r="C65">
            <v>0</v>
          </cell>
          <cell r="D65">
            <v>0</v>
          </cell>
          <cell r="E65">
            <v>0</v>
          </cell>
        </row>
        <row r="66">
          <cell r="A66" t="str">
            <v>Receivables and other assets</v>
          </cell>
          <cell r="B66">
            <v>0</v>
          </cell>
          <cell r="C66">
            <v>275218785.88999999</v>
          </cell>
          <cell r="D66">
            <v>0</v>
          </cell>
          <cell r="E66">
            <v>2199338.08</v>
          </cell>
        </row>
        <row r="67">
          <cell r="A67" t="str">
            <v>Reserve for AK Capital IncomeFund</v>
          </cell>
          <cell r="B67">
            <v>0</v>
          </cell>
          <cell r="C67">
            <v>23500000</v>
          </cell>
          <cell r="D67">
            <v>0</v>
          </cell>
          <cell r="E67">
            <v>0</v>
          </cell>
        </row>
        <row r="68">
          <cell r="A68" t="str">
            <v>Reserve for Dividend</v>
          </cell>
          <cell r="B68">
            <v>0</v>
          </cell>
          <cell r="C68">
            <v>1136800000</v>
          </cell>
          <cell r="D68">
            <v>0</v>
          </cell>
          <cell r="E68">
            <v>0</v>
          </cell>
        </row>
        <row r="69">
          <cell r="A69" t="str">
            <v>Reserve for Inflation Proofing</v>
          </cell>
          <cell r="B69">
            <v>0</v>
          </cell>
          <cell r="C69">
            <v>543500000</v>
          </cell>
          <cell r="D69">
            <v>0</v>
          </cell>
          <cell r="E69">
            <v>0</v>
          </cell>
        </row>
        <row r="70">
          <cell r="A70" t="str">
            <v>Short-term Cost</v>
          </cell>
          <cell r="B70">
            <v>0</v>
          </cell>
          <cell r="C70">
            <v>2250596554.5900002</v>
          </cell>
          <cell r="D70">
            <v>0</v>
          </cell>
          <cell r="E70">
            <v>20679372.27</v>
          </cell>
        </row>
        <row r="71">
          <cell r="A71" t="str">
            <v>SNI Am Hess activity</v>
          </cell>
          <cell r="B71">
            <v>0</v>
          </cell>
          <cell r="C71">
            <v>0</v>
          </cell>
          <cell r="D71">
            <v>0</v>
          </cell>
          <cell r="E71">
            <v>0</v>
          </cell>
        </row>
        <row r="72">
          <cell r="A72" t="str">
            <v>SNI unrealized gain / loss activity</v>
          </cell>
          <cell r="B72">
            <v>524353141.25999999</v>
          </cell>
          <cell r="C72">
            <v>-2356963466.77</v>
          </cell>
          <cell r="D72">
            <v>4631305.8899999997</v>
          </cell>
          <cell r="E72">
            <v>-21934209.870000001</v>
          </cell>
        </row>
        <row r="73">
          <cell r="A73" t="str">
            <v>State Dedicated Revenues Receivable</v>
          </cell>
          <cell r="B73">
            <v>0</v>
          </cell>
          <cell r="C73">
            <v>35858391.960000001</v>
          </cell>
          <cell r="D73">
            <v>0</v>
          </cell>
          <cell r="E73">
            <v>0</v>
          </cell>
        </row>
        <row r="74">
          <cell r="A74" t="str">
            <v>Statutory net income (loss)</v>
          </cell>
          <cell r="B74">
            <v>813291602.63</v>
          </cell>
          <cell r="C74">
            <v>2620379390.6100001</v>
          </cell>
          <cell r="D74">
            <v>7183331.0199999996</v>
          </cell>
          <cell r="E74">
            <v>23954341.550000001</v>
          </cell>
        </row>
        <row r="75">
          <cell r="A75" t="str">
            <v>Total Assets</v>
          </cell>
          <cell r="B75">
            <v>0</v>
          </cell>
          <cell r="C75">
            <v>51109317183.239998</v>
          </cell>
          <cell r="D75">
            <v>0</v>
          </cell>
          <cell r="E75">
            <v>450913203.79000002</v>
          </cell>
        </row>
        <row r="76">
          <cell r="A76" t="str">
            <v>Total Cost</v>
          </cell>
          <cell r="B76">
            <v>0</v>
          </cell>
          <cell r="C76">
            <v>33291369552.529999</v>
          </cell>
          <cell r="D76">
            <v>0</v>
          </cell>
          <cell r="E76">
            <v>305894285.89999998</v>
          </cell>
        </row>
        <row r="77">
          <cell r="A77" t="str">
            <v>Total expenditures</v>
          </cell>
          <cell r="B77">
            <v>-7495375.2300000004</v>
          </cell>
          <cell r="C77">
            <v>-82679960.879999995</v>
          </cell>
          <cell r="D77">
            <v>-66202.3</v>
          </cell>
          <cell r="E77">
            <v>-694790.85</v>
          </cell>
        </row>
        <row r="78">
          <cell r="A78" t="str">
            <v>Total Fund Balances</v>
          </cell>
          <cell r="B78">
            <v>0</v>
          </cell>
          <cell r="C78">
            <v>50399323492.059998</v>
          </cell>
          <cell r="D78">
            <v>0</v>
          </cell>
          <cell r="E78">
            <v>444389500.60000002</v>
          </cell>
        </row>
        <row r="79">
          <cell r="A79" t="str">
            <v>Total investments</v>
          </cell>
          <cell r="B79">
            <v>0</v>
          </cell>
          <cell r="C79">
            <v>39002172454.18</v>
          </cell>
          <cell r="D79">
            <v>0</v>
          </cell>
          <cell r="E79">
            <v>340178987.04000002</v>
          </cell>
        </row>
        <row r="80">
          <cell r="A80" t="str">
            <v>Total Liabilities</v>
          </cell>
          <cell r="B80">
            <v>0</v>
          </cell>
          <cell r="C80">
            <v>709993691.17999995</v>
          </cell>
          <cell r="D80">
            <v>0</v>
          </cell>
          <cell r="E80">
            <v>6523703.1900000004</v>
          </cell>
        </row>
        <row r="81">
          <cell r="A81" t="str">
            <v>Total Liabilities and Fund Balances</v>
          </cell>
          <cell r="B81">
            <v>0</v>
          </cell>
          <cell r="C81">
            <v>51109317183.239998</v>
          </cell>
          <cell r="D81">
            <v>0</v>
          </cell>
          <cell r="E81">
            <v>450913203.79000002</v>
          </cell>
        </row>
        <row r="82">
          <cell r="A82" t="str">
            <v>Total reserved</v>
          </cell>
          <cell r="B82">
            <v>0</v>
          </cell>
          <cell r="C82">
            <v>43289592515.400002</v>
          </cell>
          <cell r="D82">
            <v>0</v>
          </cell>
          <cell r="E82">
            <v>384836834.49000001</v>
          </cell>
        </row>
        <row r="83">
          <cell r="A83" t="str">
            <v>Total revenues</v>
          </cell>
          <cell r="B83">
            <v>296433836.60000002</v>
          </cell>
          <cell r="C83">
            <v>5060022818.2600002</v>
          </cell>
          <cell r="D83">
            <v>2618227.4300000002</v>
          </cell>
          <cell r="E83">
            <v>46583342.270000003</v>
          </cell>
        </row>
        <row r="84">
          <cell r="A84" t="str">
            <v>Transfers in</v>
          </cell>
          <cell r="B84">
            <v>57885424.630000003</v>
          </cell>
          <cell r="C84">
            <v>568646247.82000005</v>
          </cell>
          <cell r="D84">
            <v>0</v>
          </cell>
          <cell r="E84">
            <v>3500000</v>
          </cell>
        </row>
        <row r="85">
          <cell r="A85" t="str">
            <v>Transfers out</v>
          </cell>
          <cell r="B85">
            <v>0</v>
          </cell>
          <cell r="C85">
            <v>0</v>
          </cell>
          <cell r="D85">
            <v>0</v>
          </cell>
          <cell r="E85">
            <v>-21992900</v>
          </cell>
        </row>
        <row r="86">
          <cell r="A86" t="str">
            <v>Unrealized appreciation earnings reserve allocation</v>
          </cell>
          <cell r="B86">
            <v>0</v>
          </cell>
          <cell r="C86">
            <v>1002784964.15</v>
          </cell>
          <cell r="D86">
            <v>0</v>
          </cell>
          <cell r="E86">
            <v>6291231.4100000001</v>
          </cell>
        </row>
        <row r="87">
          <cell r="A87" t="str">
            <v>Unrealized appreciation principal allocation</v>
          </cell>
          <cell r="B87">
            <v>0</v>
          </cell>
          <cell r="C87">
            <v>6105737702.4899998</v>
          </cell>
          <cell r="D87">
            <v>0</v>
          </cell>
          <cell r="E87">
            <v>40654730.329999998</v>
          </cell>
        </row>
      </sheetData>
      <sheetData sheetId="4">
        <row r="10">
          <cell r="I10">
            <v>10042</v>
          </cell>
          <cell r="J10">
            <v>200003064.59</v>
          </cell>
          <cell r="M10">
            <v>10042</v>
          </cell>
          <cell r="N10">
            <v>1751044.62</v>
          </cell>
        </row>
        <row r="11">
          <cell r="I11">
            <v>10044</v>
          </cell>
          <cell r="J11">
            <v>29999520.829999998</v>
          </cell>
          <cell r="M11">
            <v>10044</v>
          </cell>
          <cell r="N11">
            <v>262648.46999999997</v>
          </cell>
        </row>
        <row r="12">
          <cell r="I12">
            <v>11000</v>
          </cell>
          <cell r="J12">
            <v>663.19</v>
          </cell>
          <cell r="M12">
            <v>11000</v>
          </cell>
          <cell r="N12">
            <v>5.81</v>
          </cell>
        </row>
        <row r="13">
          <cell r="I13">
            <v>11110</v>
          </cell>
          <cell r="J13">
            <v>9299632.8699999992</v>
          </cell>
          <cell r="M13">
            <v>11110</v>
          </cell>
          <cell r="N13">
            <v>81419.11</v>
          </cell>
        </row>
        <row r="14">
          <cell r="I14">
            <v>11120</v>
          </cell>
          <cell r="J14">
            <v>8633563.5999999996</v>
          </cell>
          <cell r="M14">
            <v>11120</v>
          </cell>
          <cell r="N14">
            <v>75587.62</v>
          </cell>
        </row>
        <row r="15">
          <cell r="I15">
            <v>11230</v>
          </cell>
          <cell r="J15">
            <v>3190515.17</v>
          </cell>
          <cell r="M15">
            <v>11230</v>
          </cell>
          <cell r="N15">
            <v>27933.24</v>
          </cell>
        </row>
        <row r="16">
          <cell r="I16">
            <v>11260</v>
          </cell>
          <cell r="J16">
            <v>-510181779.27999997</v>
          </cell>
          <cell r="M16">
            <v>11260</v>
          </cell>
          <cell r="N16">
            <v>-4466686.8600000003</v>
          </cell>
        </row>
        <row r="17">
          <cell r="I17">
            <v>11610</v>
          </cell>
          <cell r="J17">
            <v>-28137001.359999999</v>
          </cell>
          <cell r="M17">
            <v>11610</v>
          </cell>
          <cell r="N17">
            <v>-246341.95</v>
          </cell>
        </row>
        <row r="18">
          <cell r="I18">
            <v>11620</v>
          </cell>
          <cell r="J18">
            <v>37286534.450000003</v>
          </cell>
          <cell r="M18">
            <v>11620</v>
          </cell>
          <cell r="N18">
            <v>326446.93</v>
          </cell>
        </row>
        <row r="19">
          <cell r="I19">
            <v>11680</v>
          </cell>
          <cell r="J19">
            <v>-928826.87</v>
          </cell>
          <cell r="M19">
            <v>11680</v>
          </cell>
          <cell r="N19">
            <v>-8131.96</v>
          </cell>
        </row>
        <row r="20">
          <cell r="I20">
            <v>11700</v>
          </cell>
          <cell r="J20">
            <v>-882218.21</v>
          </cell>
          <cell r="M20">
            <v>11700</v>
          </cell>
          <cell r="N20">
            <v>-7723.9</v>
          </cell>
        </row>
        <row r="21">
          <cell r="I21">
            <v>12100</v>
          </cell>
          <cell r="J21">
            <v>1763650571.8099999</v>
          </cell>
          <cell r="M21">
            <v>12100</v>
          </cell>
          <cell r="N21">
            <v>15440917.630000001</v>
          </cell>
        </row>
        <row r="22">
          <cell r="I22">
            <v>12130</v>
          </cell>
          <cell r="J22">
            <v>-26437500</v>
          </cell>
          <cell r="M22">
            <v>12130</v>
          </cell>
          <cell r="N22">
            <v>-231462.66</v>
          </cell>
        </row>
        <row r="23">
          <cell r="I23">
            <v>12131</v>
          </cell>
          <cell r="J23">
            <v>589927.79</v>
          </cell>
          <cell r="M23">
            <v>12131</v>
          </cell>
          <cell r="N23">
            <v>5164.87</v>
          </cell>
        </row>
        <row r="24">
          <cell r="I24">
            <v>12200</v>
          </cell>
          <cell r="J24">
            <v>-482595993.11000001</v>
          </cell>
          <cell r="M24">
            <v>12200</v>
          </cell>
          <cell r="N24">
            <v>-4225170.8499999996</v>
          </cell>
        </row>
        <row r="25">
          <cell r="I25">
            <v>12300</v>
          </cell>
          <cell r="J25">
            <v>8654332</v>
          </cell>
          <cell r="M25">
            <v>12300</v>
          </cell>
          <cell r="N25">
            <v>75769.45</v>
          </cell>
        </row>
        <row r="26">
          <cell r="I26">
            <v>12301</v>
          </cell>
          <cell r="J26">
            <v>-2740284.85</v>
          </cell>
          <cell r="M26">
            <v>12301</v>
          </cell>
          <cell r="N26">
            <v>-23991.439999999999</v>
          </cell>
        </row>
        <row r="27">
          <cell r="I27">
            <v>12310</v>
          </cell>
          <cell r="J27">
            <v>3645165.53</v>
          </cell>
          <cell r="M27">
            <v>12310</v>
          </cell>
          <cell r="N27">
            <v>31913.75</v>
          </cell>
        </row>
        <row r="28">
          <cell r="I28">
            <v>12510</v>
          </cell>
          <cell r="J28">
            <v>-503309840.07999998</v>
          </cell>
          <cell r="M28">
            <v>12510</v>
          </cell>
          <cell r="N28">
            <v>-4406522.42</v>
          </cell>
        </row>
        <row r="29">
          <cell r="I29">
            <v>12600</v>
          </cell>
          <cell r="J29">
            <v>14464720.43</v>
          </cell>
          <cell r="M29">
            <v>12600</v>
          </cell>
          <cell r="N29">
            <v>126639.91</v>
          </cell>
        </row>
        <row r="30">
          <cell r="I30">
            <v>12651</v>
          </cell>
          <cell r="J30">
            <v>720826.45</v>
          </cell>
          <cell r="M30">
            <v>12651</v>
          </cell>
          <cell r="N30">
            <v>6310.9</v>
          </cell>
        </row>
        <row r="31">
          <cell r="I31">
            <v>12680</v>
          </cell>
          <cell r="J31">
            <v>4894413.0199999996</v>
          </cell>
          <cell r="M31">
            <v>12680</v>
          </cell>
          <cell r="N31">
            <v>42851.02</v>
          </cell>
        </row>
        <row r="32">
          <cell r="I32">
            <v>12681</v>
          </cell>
          <cell r="J32">
            <v>48719677.590000004</v>
          </cell>
          <cell r="M32">
            <v>12681</v>
          </cell>
          <cell r="N32">
            <v>426545.11</v>
          </cell>
        </row>
        <row r="33">
          <cell r="I33">
            <v>12690</v>
          </cell>
          <cell r="J33">
            <v>-3450432</v>
          </cell>
          <cell r="M33">
            <v>12690</v>
          </cell>
          <cell r="N33">
            <v>-30208.84</v>
          </cell>
        </row>
        <row r="34">
          <cell r="I34">
            <v>12700</v>
          </cell>
          <cell r="J34">
            <v>9917151.5899999999</v>
          </cell>
          <cell r="M34">
            <v>12700</v>
          </cell>
          <cell r="N34">
            <v>86825.54</v>
          </cell>
        </row>
        <row r="35">
          <cell r="I35">
            <v>13042</v>
          </cell>
          <cell r="J35">
            <v>-10686.18</v>
          </cell>
          <cell r="M35">
            <v>13042</v>
          </cell>
          <cell r="N35">
            <v>-93.56</v>
          </cell>
        </row>
        <row r="36">
          <cell r="I36">
            <v>13100</v>
          </cell>
          <cell r="J36">
            <v>-19455606.539999999</v>
          </cell>
          <cell r="M36">
            <v>13100</v>
          </cell>
          <cell r="N36">
            <v>-170335.57</v>
          </cell>
        </row>
        <row r="37">
          <cell r="I37">
            <v>13130</v>
          </cell>
          <cell r="J37">
            <v>10385132.01</v>
          </cell>
          <cell r="M37">
            <v>13130</v>
          </cell>
          <cell r="N37">
            <v>90922.75</v>
          </cell>
        </row>
        <row r="38">
          <cell r="I38">
            <v>13200</v>
          </cell>
          <cell r="J38">
            <v>-545440988.65999997</v>
          </cell>
          <cell r="M38">
            <v>13200</v>
          </cell>
          <cell r="N38">
            <v>-4775384.37</v>
          </cell>
        </row>
        <row r="39">
          <cell r="I39">
            <v>13310</v>
          </cell>
          <cell r="J39">
            <v>12882597.33</v>
          </cell>
          <cell r="M39">
            <v>13310</v>
          </cell>
          <cell r="N39">
            <v>112788.29</v>
          </cell>
        </row>
        <row r="40">
          <cell r="I40">
            <v>13510</v>
          </cell>
          <cell r="J40">
            <v>-76562453.680000007</v>
          </cell>
          <cell r="M40">
            <v>13510</v>
          </cell>
          <cell r="N40">
            <v>-670311.09</v>
          </cell>
        </row>
        <row r="41">
          <cell r="I41">
            <v>13600</v>
          </cell>
          <cell r="J41">
            <v>34045677.57</v>
          </cell>
          <cell r="M41">
            <v>13600</v>
          </cell>
          <cell r="N41">
            <v>298072.94</v>
          </cell>
        </row>
        <row r="42">
          <cell r="I42">
            <v>13650</v>
          </cell>
          <cell r="J42">
            <v>23741864.02</v>
          </cell>
          <cell r="M42">
            <v>13650</v>
          </cell>
          <cell r="N42">
            <v>207862.13</v>
          </cell>
        </row>
        <row r="43">
          <cell r="I43">
            <v>13680</v>
          </cell>
          <cell r="J43">
            <v>18624269.870000001</v>
          </cell>
          <cell r="M43">
            <v>13680</v>
          </cell>
          <cell r="N43">
            <v>163057.14000000001</v>
          </cell>
        </row>
        <row r="44">
          <cell r="I44">
            <v>13690</v>
          </cell>
          <cell r="J44">
            <v>-674773.9</v>
          </cell>
          <cell r="M44">
            <v>13690</v>
          </cell>
          <cell r="N44">
            <v>-5907.71</v>
          </cell>
        </row>
        <row r="45">
          <cell r="I45">
            <v>13700</v>
          </cell>
          <cell r="J45">
            <v>9804331.7599999998</v>
          </cell>
          <cell r="M45">
            <v>13700</v>
          </cell>
          <cell r="N45">
            <v>85837.8</v>
          </cell>
        </row>
        <row r="46">
          <cell r="I46">
            <v>13800</v>
          </cell>
          <cell r="J46">
            <v>20251.93</v>
          </cell>
          <cell r="M46">
            <v>13800</v>
          </cell>
          <cell r="N46">
            <v>177.31</v>
          </cell>
        </row>
        <row r="47">
          <cell r="I47">
            <v>13810</v>
          </cell>
          <cell r="J47">
            <v>-1792116.15</v>
          </cell>
          <cell r="M47">
            <v>13810</v>
          </cell>
          <cell r="N47">
            <v>-15690.14</v>
          </cell>
        </row>
        <row r="48">
          <cell r="I48">
            <v>13820</v>
          </cell>
          <cell r="J48">
            <v>5092350.37</v>
          </cell>
          <cell r="M48">
            <v>13820</v>
          </cell>
          <cell r="N48">
            <v>44583.98</v>
          </cell>
        </row>
        <row r="49">
          <cell r="I49">
            <v>13830</v>
          </cell>
          <cell r="J49">
            <v>355703.1</v>
          </cell>
          <cell r="M49">
            <v>13830</v>
          </cell>
          <cell r="N49">
            <v>3114.21</v>
          </cell>
        </row>
        <row r="50">
          <cell r="I50">
            <v>21200</v>
          </cell>
          <cell r="J50">
            <v>-19787106.719999999</v>
          </cell>
          <cell r="M50">
            <v>21200</v>
          </cell>
          <cell r="N50">
            <v>-173237.88</v>
          </cell>
        </row>
        <row r="51">
          <cell r="I51">
            <v>21220</v>
          </cell>
          <cell r="J51">
            <v>-47510698.130000003</v>
          </cell>
          <cell r="M51">
            <v>21220</v>
          </cell>
          <cell r="N51">
            <v>-415960.39</v>
          </cell>
        </row>
        <row r="52">
          <cell r="I52">
            <v>21240</v>
          </cell>
          <cell r="J52">
            <v>258518.24</v>
          </cell>
          <cell r="M52">
            <v>21240</v>
          </cell>
          <cell r="N52">
            <v>2263.35</v>
          </cell>
        </row>
        <row r="53">
          <cell r="I53">
            <v>21260</v>
          </cell>
          <cell r="J53">
            <v>510181779.27999997</v>
          </cell>
          <cell r="M53">
            <v>21260</v>
          </cell>
          <cell r="N53">
            <v>4466686.8600000003</v>
          </cell>
        </row>
        <row r="54">
          <cell r="I54">
            <v>21270</v>
          </cell>
          <cell r="J54">
            <v>-225066.4</v>
          </cell>
          <cell r="M54">
            <v>21270</v>
          </cell>
          <cell r="N54">
            <v>-1970.48</v>
          </cell>
        </row>
        <row r="55">
          <cell r="I55">
            <v>22100</v>
          </cell>
          <cell r="J55">
            <v>1242.52</v>
          </cell>
          <cell r="M55">
            <v>22100</v>
          </cell>
          <cell r="N55">
            <v>10.88</v>
          </cell>
        </row>
        <row r="56">
          <cell r="I56">
            <v>22200</v>
          </cell>
          <cell r="J56">
            <v>-6788322.1299999999</v>
          </cell>
          <cell r="M56">
            <v>22200</v>
          </cell>
          <cell r="N56">
            <v>-59432.36</v>
          </cell>
        </row>
        <row r="57">
          <cell r="I57">
            <v>40000</v>
          </cell>
          <cell r="J57">
            <v>-868278.18</v>
          </cell>
          <cell r="M57">
            <v>40000</v>
          </cell>
          <cell r="N57">
            <v>-7601.85</v>
          </cell>
        </row>
        <row r="58">
          <cell r="I58">
            <v>40100</v>
          </cell>
          <cell r="J58">
            <v>-22798436.350000001</v>
          </cell>
          <cell r="M58">
            <v>40100</v>
          </cell>
          <cell r="N58">
            <v>-199602.34</v>
          </cell>
        </row>
        <row r="59">
          <cell r="I59">
            <v>40130</v>
          </cell>
          <cell r="J59">
            <v>9382.01</v>
          </cell>
          <cell r="M59">
            <v>40130</v>
          </cell>
          <cell r="N59">
            <v>82.14</v>
          </cell>
        </row>
        <row r="60">
          <cell r="I60">
            <v>42200</v>
          </cell>
          <cell r="J60">
            <v>-69911034.519999996</v>
          </cell>
          <cell r="M60">
            <v>42200</v>
          </cell>
          <cell r="N60">
            <v>-612077.32999999996</v>
          </cell>
        </row>
        <row r="61">
          <cell r="I61">
            <v>42300</v>
          </cell>
          <cell r="J61">
            <v>-4139333.72</v>
          </cell>
          <cell r="M61">
            <v>42300</v>
          </cell>
          <cell r="N61">
            <v>-36240.230000000003</v>
          </cell>
        </row>
        <row r="62">
          <cell r="I62">
            <v>42400</v>
          </cell>
          <cell r="J62">
            <v>-2485867.67</v>
          </cell>
          <cell r="M62">
            <v>42400</v>
          </cell>
          <cell r="N62">
            <v>-21763.99</v>
          </cell>
        </row>
        <row r="63">
          <cell r="I63">
            <v>42401</v>
          </cell>
          <cell r="J63">
            <v>1526384.77</v>
          </cell>
          <cell r="M63">
            <v>42401</v>
          </cell>
          <cell r="N63">
            <v>13363.63</v>
          </cell>
        </row>
        <row r="64">
          <cell r="I64">
            <v>42450</v>
          </cell>
          <cell r="J64">
            <v>-11268.05</v>
          </cell>
          <cell r="M64">
            <v>42450</v>
          </cell>
          <cell r="N64">
            <v>-98.65</v>
          </cell>
        </row>
        <row r="65">
          <cell r="I65">
            <v>42451</v>
          </cell>
          <cell r="J65">
            <v>967065.24</v>
          </cell>
          <cell r="M65">
            <v>42451</v>
          </cell>
          <cell r="N65">
            <v>8466.74</v>
          </cell>
        </row>
        <row r="66">
          <cell r="I66">
            <v>42510</v>
          </cell>
          <cell r="J66">
            <v>-457586.03</v>
          </cell>
          <cell r="M66">
            <v>42510</v>
          </cell>
          <cell r="N66">
            <v>-4006.21</v>
          </cell>
        </row>
        <row r="67">
          <cell r="I67">
            <v>42680</v>
          </cell>
          <cell r="J67">
            <v>-9322013.5299999993</v>
          </cell>
          <cell r="M67">
            <v>42680</v>
          </cell>
          <cell r="N67">
            <v>-81615.06</v>
          </cell>
        </row>
        <row r="68">
          <cell r="I68">
            <v>42681</v>
          </cell>
          <cell r="J68">
            <v>3551701.93</v>
          </cell>
          <cell r="M68">
            <v>42681</v>
          </cell>
          <cell r="N68">
            <v>31095.47</v>
          </cell>
        </row>
        <row r="69">
          <cell r="I69">
            <v>42690</v>
          </cell>
          <cell r="J69">
            <v>-2486636</v>
          </cell>
          <cell r="M69">
            <v>42690</v>
          </cell>
          <cell r="N69">
            <v>-21770.720000000001</v>
          </cell>
        </row>
        <row r="70">
          <cell r="I70">
            <v>43000</v>
          </cell>
          <cell r="J70">
            <v>-33577.379999999997</v>
          </cell>
          <cell r="M70">
            <v>43000</v>
          </cell>
          <cell r="N70">
            <v>-293.97000000000003</v>
          </cell>
        </row>
        <row r="71">
          <cell r="I71">
            <v>43050</v>
          </cell>
          <cell r="J71">
            <v>-202565.32</v>
          </cell>
          <cell r="M71">
            <v>43050</v>
          </cell>
          <cell r="N71">
            <v>-1773.48</v>
          </cell>
        </row>
        <row r="72">
          <cell r="I72">
            <v>43100</v>
          </cell>
          <cell r="J72">
            <v>-867845.65</v>
          </cell>
          <cell r="M72">
            <v>43100</v>
          </cell>
          <cell r="N72">
            <v>-7598.07</v>
          </cell>
        </row>
        <row r="73">
          <cell r="I73">
            <v>46000</v>
          </cell>
          <cell r="J73">
            <v>-4895235.5999999996</v>
          </cell>
          <cell r="M73">
            <v>46000</v>
          </cell>
          <cell r="N73">
            <v>-42858.22</v>
          </cell>
        </row>
        <row r="74">
          <cell r="I74">
            <v>46001</v>
          </cell>
          <cell r="J74">
            <v>1279758.6200000001</v>
          </cell>
          <cell r="M74">
            <v>46001</v>
          </cell>
          <cell r="N74">
            <v>11204.4</v>
          </cell>
        </row>
        <row r="75">
          <cell r="I75">
            <v>47000</v>
          </cell>
          <cell r="J75">
            <v>10686.18</v>
          </cell>
          <cell r="M75">
            <v>47000</v>
          </cell>
          <cell r="N75">
            <v>93.56</v>
          </cell>
        </row>
        <row r="76">
          <cell r="I76">
            <v>47100</v>
          </cell>
          <cell r="J76">
            <v>19455606.539999999</v>
          </cell>
          <cell r="M76">
            <v>47100</v>
          </cell>
          <cell r="N76">
            <v>170335.57</v>
          </cell>
        </row>
        <row r="77">
          <cell r="I77">
            <v>47130</v>
          </cell>
          <cell r="J77">
            <v>-10385132.01</v>
          </cell>
          <cell r="M77">
            <v>47130</v>
          </cell>
          <cell r="N77">
            <v>-90922.75</v>
          </cell>
        </row>
        <row r="78">
          <cell r="I78">
            <v>47150</v>
          </cell>
          <cell r="J78">
            <v>545440988.65999997</v>
          </cell>
          <cell r="M78">
            <v>47150</v>
          </cell>
          <cell r="N78">
            <v>4775384.37</v>
          </cell>
        </row>
        <row r="79">
          <cell r="I79">
            <v>47200</v>
          </cell>
          <cell r="J79">
            <v>1792116.15</v>
          </cell>
          <cell r="M79">
            <v>47200</v>
          </cell>
          <cell r="N79">
            <v>15690.14</v>
          </cell>
        </row>
        <row r="80">
          <cell r="I80">
            <v>47285</v>
          </cell>
          <cell r="J80">
            <v>-5448053.4699999997</v>
          </cell>
          <cell r="M80">
            <v>47285</v>
          </cell>
          <cell r="N80">
            <v>-47698.19</v>
          </cell>
        </row>
        <row r="81">
          <cell r="I81">
            <v>47300</v>
          </cell>
          <cell r="J81">
            <v>-20251.93</v>
          </cell>
          <cell r="M81">
            <v>47300</v>
          </cell>
          <cell r="N81">
            <v>-177.31</v>
          </cell>
        </row>
        <row r="82">
          <cell r="I82">
            <v>47400</v>
          </cell>
          <cell r="J82">
            <v>-12882597.33</v>
          </cell>
          <cell r="M82">
            <v>47400</v>
          </cell>
          <cell r="N82">
            <v>-112788.29</v>
          </cell>
        </row>
        <row r="83">
          <cell r="I83">
            <v>47510</v>
          </cell>
          <cell r="J83">
            <v>76562453.680000007</v>
          </cell>
          <cell r="M83">
            <v>47510</v>
          </cell>
          <cell r="N83">
            <v>670311.09</v>
          </cell>
        </row>
        <row r="84">
          <cell r="I84">
            <v>47600</v>
          </cell>
          <cell r="J84">
            <v>-34045677.57</v>
          </cell>
          <cell r="M84">
            <v>47600</v>
          </cell>
          <cell r="N84">
            <v>-298072.94</v>
          </cell>
        </row>
        <row r="85">
          <cell r="I85">
            <v>47650</v>
          </cell>
          <cell r="J85">
            <v>-23741864.02</v>
          </cell>
          <cell r="M85">
            <v>47650</v>
          </cell>
          <cell r="N85">
            <v>-207862.13</v>
          </cell>
        </row>
        <row r="86">
          <cell r="I86">
            <v>47680</v>
          </cell>
          <cell r="J86">
            <v>-18624269.870000001</v>
          </cell>
          <cell r="M86">
            <v>47680</v>
          </cell>
          <cell r="N86">
            <v>-163057.14000000001</v>
          </cell>
        </row>
        <row r="87">
          <cell r="I87">
            <v>47690</v>
          </cell>
          <cell r="J87">
            <v>674773.9</v>
          </cell>
          <cell r="M87">
            <v>47690</v>
          </cell>
          <cell r="N87">
            <v>5907.71</v>
          </cell>
        </row>
        <row r="88">
          <cell r="I88">
            <v>47700</v>
          </cell>
          <cell r="J88">
            <v>-9804331.7599999998</v>
          </cell>
          <cell r="M88">
            <v>47700</v>
          </cell>
          <cell r="N88">
            <v>-85837.8</v>
          </cell>
        </row>
        <row r="89">
          <cell r="I89">
            <v>48800</v>
          </cell>
          <cell r="J89">
            <v>-1279853.75</v>
          </cell>
          <cell r="M89">
            <v>48800</v>
          </cell>
          <cell r="N89">
            <v>-11205.23</v>
          </cell>
        </row>
        <row r="90">
          <cell r="I90">
            <v>49100</v>
          </cell>
          <cell r="J90">
            <v>-2076883.29</v>
          </cell>
          <cell r="M90">
            <v>49100</v>
          </cell>
          <cell r="N90">
            <v>-18183.3</v>
          </cell>
        </row>
        <row r="91">
          <cell r="I91">
            <v>49130</v>
          </cell>
          <cell r="J91">
            <v>-557743.64</v>
          </cell>
          <cell r="M91">
            <v>49130</v>
          </cell>
          <cell r="N91">
            <v>-4883.1000000000004</v>
          </cell>
        </row>
        <row r="92">
          <cell r="I92">
            <v>49150</v>
          </cell>
          <cell r="J92">
            <v>-550463713.80999994</v>
          </cell>
          <cell r="M92">
            <v>49150</v>
          </cell>
          <cell r="N92">
            <v>-4819358.78</v>
          </cell>
        </row>
        <row r="93">
          <cell r="I93">
            <v>49285</v>
          </cell>
          <cell r="J93">
            <v>8624624.7100000009</v>
          </cell>
          <cell r="M93">
            <v>49285</v>
          </cell>
          <cell r="N93">
            <v>75509.36</v>
          </cell>
        </row>
        <row r="94">
          <cell r="I94">
            <v>49300</v>
          </cell>
          <cell r="J94">
            <v>-636741.63</v>
          </cell>
          <cell r="M94">
            <v>49300</v>
          </cell>
          <cell r="N94">
            <v>-5574.73</v>
          </cell>
        </row>
        <row r="95">
          <cell r="I95">
            <v>49510</v>
          </cell>
          <cell r="J95">
            <v>-86581485.400000006</v>
          </cell>
          <cell r="M95">
            <v>49510</v>
          </cell>
          <cell r="N95">
            <v>-758028.61</v>
          </cell>
        </row>
        <row r="96">
          <cell r="I96">
            <v>49600</v>
          </cell>
          <cell r="J96">
            <v>-134875.69</v>
          </cell>
          <cell r="M96">
            <v>49600</v>
          </cell>
          <cell r="N96">
            <v>-1180.8499999999999</v>
          </cell>
        </row>
        <row r="97">
          <cell r="I97">
            <v>49680</v>
          </cell>
          <cell r="J97">
            <v>-49545418.979999997</v>
          </cell>
          <cell r="M97">
            <v>49680</v>
          </cell>
          <cell r="N97">
            <v>-433774.55</v>
          </cell>
        </row>
        <row r="98">
          <cell r="I98">
            <v>49690</v>
          </cell>
          <cell r="J98">
            <v>-45010</v>
          </cell>
          <cell r="M98">
            <v>49690</v>
          </cell>
          <cell r="N98">
            <v>-394.07</v>
          </cell>
        </row>
        <row r="99">
          <cell r="I99">
            <v>49700</v>
          </cell>
          <cell r="J99">
            <v>-33584293.060000002</v>
          </cell>
          <cell r="M99">
            <v>49700</v>
          </cell>
          <cell r="N99">
            <v>-294033.46999999997</v>
          </cell>
        </row>
        <row r="100">
          <cell r="I100">
            <v>49750</v>
          </cell>
          <cell r="J100">
            <v>-1718189.8</v>
          </cell>
          <cell r="M100">
            <v>49750</v>
          </cell>
          <cell r="N100">
            <v>-15042.9</v>
          </cell>
        </row>
        <row r="101">
          <cell r="I101">
            <v>49775</v>
          </cell>
          <cell r="J101">
            <v>1108458.5900000001</v>
          </cell>
          <cell r="M101">
            <v>49775</v>
          </cell>
          <cell r="N101">
            <v>9704.65</v>
          </cell>
        </row>
        <row r="102">
          <cell r="I102">
            <v>60000</v>
          </cell>
          <cell r="J102">
            <v>591041.04</v>
          </cell>
          <cell r="M102">
            <v>60000</v>
          </cell>
          <cell r="N102">
            <v>5174.62</v>
          </cell>
        </row>
        <row r="103">
          <cell r="I103">
            <v>61000</v>
          </cell>
          <cell r="J103">
            <v>5876.61</v>
          </cell>
          <cell r="M103">
            <v>61000</v>
          </cell>
          <cell r="N103">
            <v>51.45</v>
          </cell>
        </row>
        <row r="104">
          <cell r="I104">
            <v>62000</v>
          </cell>
          <cell r="J104">
            <v>34119.230000000003</v>
          </cell>
          <cell r="M104">
            <v>62000</v>
          </cell>
          <cell r="N104">
            <v>298.72000000000003</v>
          </cell>
        </row>
        <row r="105">
          <cell r="I105">
            <v>63000</v>
          </cell>
          <cell r="J105">
            <v>91666.66</v>
          </cell>
          <cell r="M105">
            <v>63000</v>
          </cell>
          <cell r="N105">
            <v>802.55</v>
          </cell>
        </row>
        <row r="106">
          <cell r="I106">
            <v>64000</v>
          </cell>
          <cell r="J106">
            <v>45810.73</v>
          </cell>
          <cell r="M106">
            <v>64000</v>
          </cell>
          <cell r="N106">
            <v>401.08</v>
          </cell>
        </row>
        <row r="107">
          <cell r="I107">
            <v>65000</v>
          </cell>
          <cell r="J107">
            <v>6766655.4699999997</v>
          </cell>
          <cell r="M107">
            <v>65000</v>
          </cell>
          <cell r="N107">
            <v>59242.67</v>
          </cell>
        </row>
        <row r="108">
          <cell r="I108">
            <v>66000</v>
          </cell>
          <cell r="J108">
            <v>991.23</v>
          </cell>
          <cell r="M108">
            <v>66000</v>
          </cell>
          <cell r="N108">
            <v>8.68</v>
          </cell>
        </row>
        <row r="109">
          <cell r="I109">
            <v>67000</v>
          </cell>
          <cell r="J109">
            <v>7906.29</v>
          </cell>
          <cell r="M109">
            <v>67000</v>
          </cell>
          <cell r="N109">
            <v>69.22</v>
          </cell>
        </row>
        <row r="110">
          <cell r="I110">
            <v>69000</v>
          </cell>
          <cell r="J110">
            <v>2138.94</v>
          </cell>
          <cell r="M110">
            <v>69000</v>
          </cell>
          <cell r="N110">
            <v>18.73</v>
          </cell>
        </row>
        <row r="111">
          <cell r="I111">
            <v>69500</v>
          </cell>
          <cell r="J111">
            <v>15371.33</v>
          </cell>
          <cell r="M111">
            <v>69500</v>
          </cell>
          <cell r="N111">
            <v>134.58000000000001</v>
          </cell>
        </row>
      </sheetData>
      <sheetData sheetId="5">
        <row r="5">
          <cell r="A5" t="str">
            <v>CY</v>
          </cell>
          <cell r="B5" t="str">
            <v>Jan</v>
          </cell>
          <cell r="C5" t="str">
            <v>Feb</v>
          </cell>
          <cell r="D5" t="str">
            <v>March</v>
          </cell>
          <cell r="E5" t="str">
            <v>April</v>
          </cell>
          <cell r="F5" t="str">
            <v>May</v>
          </cell>
          <cell r="G5" t="str">
            <v>June</v>
          </cell>
          <cell r="H5" t="str">
            <v>July</v>
          </cell>
          <cell r="I5" t="str">
            <v>August</v>
          </cell>
          <cell r="J5" t="str">
            <v>Sept</v>
          </cell>
          <cell r="K5" t="str">
            <v>October</v>
          </cell>
          <cell r="L5" t="str">
            <v>Nov</v>
          </cell>
          <cell r="M5" t="str">
            <v>Dec</v>
          </cell>
          <cell r="O5" t="str">
            <v>Average</v>
          </cell>
          <cell r="Q5" t="str">
            <v>Change</v>
          </cell>
        </row>
        <row r="6">
          <cell r="A6">
            <v>1981</v>
          </cell>
          <cell r="B6">
            <v>260.5</v>
          </cell>
          <cell r="C6">
            <v>263.2</v>
          </cell>
          <cell r="D6">
            <v>265.10000000000002</v>
          </cell>
          <cell r="E6">
            <v>266.8</v>
          </cell>
          <cell r="F6">
            <v>269</v>
          </cell>
          <cell r="G6">
            <v>271.3</v>
          </cell>
          <cell r="H6">
            <v>274.39999999999998</v>
          </cell>
          <cell r="I6">
            <v>276.5</v>
          </cell>
          <cell r="J6">
            <v>279.3</v>
          </cell>
          <cell r="K6">
            <v>279.89999999999998</v>
          </cell>
          <cell r="L6">
            <v>280.7</v>
          </cell>
          <cell r="M6">
            <v>281.5</v>
          </cell>
          <cell r="O6">
            <v>272.35000000000002</v>
          </cell>
        </row>
        <row r="7">
          <cell r="A7">
            <v>1982</v>
          </cell>
          <cell r="B7">
            <v>282.5</v>
          </cell>
          <cell r="C7">
            <v>283.39999999999998</v>
          </cell>
          <cell r="D7">
            <v>283.10000000000002</v>
          </cell>
          <cell r="E7">
            <v>284.3</v>
          </cell>
          <cell r="F7">
            <v>287.10000000000002</v>
          </cell>
          <cell r="G7">
            <v>290.60000000000002</v>
          </cell>
          <cell r="H7">
            <v>292.2</v>
          </cell>
          <cell r="I7">
            <v>292.8</v>
          </cell>
          <cell r="J7">
            <v>293.3</v>
          </cell>
          <cell r="K7">
            <v>294.10000000000002</v>
          </cell>
          <cell r="L7">
            <v>293.60000000000002</v>
          </cell>
          <cell r="M7">
            <v>292.39999999999998</v>
          </cell>
          <cell r="O7">
            <v>289.11666666666667</v>
          </cell>
          <cell r="Q7">
            <v>6.1562939844562695E-2</v>
          </cell>
        </row>
        <row r="8">
          <cell r="A8">
            <v>1983</v>
          </cell>
          <cell r="B8">
            <v>293.10000000000002</v>
          </cell>
          <cell r="C8">
            <v>293.2</v>
          </cell>
          <cell r="D8">
            <v>293.39999999999998</v>
          </cell>
          <cell r="E8">
            <v>295.5</v>
          </cell>
          <cell r="F8">
            <v>297.10000000000002</v>
          </cell>
          <cell r="G8">
            <v>298.10000000000002</v>
          </cell>
          <cell r="H8">
            <v>299.3</v>
          </cell>
          <cell r="I8">
            <v>300.3</v>
          </cell>
          <cell r="J8">
            <v>301.8</v>
          </cell>
          <cell r="K8">
            <v>302.60000000000002</v>
          </cell>
          <cell r="L8">
            <v>303.10000000000002</v>
          </cell>
          <cell r="M8">
            <v>303.5</v>
          </cell>
          <cell r="O8">
            <v>298.41666666666669</v>
          </cell>
          <cell r="Q8">
            <v>3.2166945293134297E-2</v>
          </cell>
        </row>
        <row r="9">
          <cell r="A9">
            <v>1984</v>
          </cell>
          <cell r="B9">
            <v>305.2</v>
          </cell>
          <cell r="C9">
            <v>306.60000000000002</v>
          </cell>
          <cell r="D9">
            <v>307.3</v>
          </cell>
          <cell r="E9">
            <v>308.8</v>
          </cell>
          <cell r="F9">
            <v>309.7</v>
          </cell>
          <cell r="G9">
            <v>310.7</v>
          </cell>
          <cell r="H9">
            <v>311.7</v>
          </cell>
          <cell r="I9">
            <v>313</v>
          </cell>
          <cell r="J9">
            <v>314.5</v>
          </cell>
          <cell r="K9">
            <v>315.3</v>
          </cell>
          <cell r="L9">
            <v>315.3</v>
          </cell>
          <cell r="M9">
            <v>315.5</v>
          </cell>
          <cell r="O9">
            <v>311.13333333333338</v>
          </cell>
          <cell r="Q9">
            <v>4.261379502932152E-2</v>
          </cell>
        </row>
        <row r="10">
          <cell r="A10">
            <v>1985</v>
          </cell>
          <cell r="B10">
            <v>316.10000000000002</v>
          </cell>
          <cell r="C10">
            <v>317.39999999999998</v>
          </cell>
          <cell r="D10">
            <v>318.8</v>
          </cell>
          <cell r="E10">
            <v>320.10000000000002</v>
          </cell>
          <cell r="F10">
            <v>321.3</v>
          </cell>
          <cell r="G10">
            <v>322.3</v>
          </cell>
          <cell r="H10">
            <v>322.8</v>
          </cell>
          <cell r="I10">
            <v>323.5</v>
          </cell>
          <cell r="J10">
            <v>324.5</v>
          </cell>
          <cell r="K10">
            <v>325.5</v>
          </cell>
          <cell r="L10">
            <v>326.60000000000002</v>
          </cell>
          <cell r="M10">
            <v>327.39999999999998</v>
          </cell>
          <cell r="O10">
            <v>322.19166666666666</v>
          </cell>
          <cell r="Q10">
            <v>3.5542104135418723E-2</v>
          </cell>
        </row>
        <row r="11">
          <cell r="A11">
            <v>1986</v>
          </cell>
          <cell r="B11">
            <v>328.4</v>
          </cell>
          <cell r="C11">
            <v>327.5</v>
          </cell>
          <cell r="D11">
            <v>326</v>
          </cell>
          <cell r="E11">
            <v>325.3</v>
          </cell>
          <cell r="F11">
            <v>326.3</v>
          </cell>
          <cell r="G11">
            <v>327.9</v>
          </cell>
          <cell r="H11">
            <v>328</v>
          </cell>
          <cell r="I11">
            <v>328.6</v>
          </cell>
          <cell r="J11">
            <v>330.2</v>
          </cell>
          <cell r="K11">
            <v>330.5</v>
          </cell>
          <cell r="L11">
            <v>330.8</v>
          </cell>
          <cell r="M11">
            <v>331.1</v>
          </cell>
          <cell r="O11">
            <v>328.38333333333333</v>
          </cell>
          <cell r="Q11">
            <v>1.9217339575304544E-2</v>
          </cell>
        </row>
        <row r="12">
          <cell r="A12">
            <v>1987</v>
          </cell>
          <cell r="B12">
            <v>333.1</v>
          </cell>
          <cell r="C12">
            <v>334.4</v>
          </cell>
          <cell r="D12">
            <v>335.9</v>
          </cell>
          <cell r="E12">
            <v>337.7</v>
          </cell>
          <cell r="F12">
            <v>338.7</v>
          </cell>
          <cell r="G12">
            <v>340.1</v>
          </cell>
          <cell r="H12">
            <v>340.8</v>
          </cell>
          <cell r="I12">
            <v>342.7</v>
          </cell>
          <cell r="J12">
            <v>344.4</v>
          </cell>
          <cell r="K12">
            <v>345.3</v>
          </cell>
          <cell r="L12">
            <v>345.8</v>
          </cell>
          <cell r="M12">
            <v>345.7</v>
          </cell>
          <cell r="O12">
            <v>340.38333333333338</v>
          </cell>
          <cell r="Q12">
            <v>3.6542658478404474E-2</v>
          </cell>
        </row>
        <row r="13">
          <cell r="A13">
            <v>1988</v>
          </cell>
          <cell r="B13">
            <v>346.7</v>
          </cell>
          <cell r="C13">
            <v>347.4</v>
          </cell>
          <cell r="D13">
            <v>349</v>
          </cell>
          <cell r="E13">
            <v>350.8</v>
          </cell>
          <cell r="F13">
            <v>352</v>
          </cell>
          <cell r="G13">
            <v>353.5</v>
          </cell>
          <cell r="H13">
            <v>354.9</v>
          </cell>
          <cell r="I13">
            <v>356.6</v>
          </cell>
          <cell r="J13">
            <v>358.9</v>
          </cell>
          <cell r="K13">
            <v>360.1</v>
          </cell>
          <cell r="L13">
            <v>360.5</v>
          </cell>
          <cell r="M13">
            <v>360.9</v>
          </cell>
          <cell r="O13">
            <v>354.27499999999992</v>
          </cell>
          <cell r="Q13">
            <v>4.0811829799735209E-2</v>
          </cell>
        </row>
        <row r="14">
          <cell r="A14">
            <v>1989</v>
          </cell>
          <cell r="B14">
            <v>362.7</v>
          </cell>
          <cell r="C14">
            <v>364.1</v>
          </cell>
          <cell r="D14">
            <v>366.2</v>
          </cell>
          <cell r="E14">
            <v>368.8</v>
          </cell>
          <cell r="F14">
            <v>370.8</v>
          </cell>
          <cell r="G14">
            <v>371.7</v>
          </cell>
          <cell r="H14">
            <v>372.7</v>
          </cell>
          <cell r="I14">
            <v>373.1</v>
          </cell>
          <cell r="J14">
            <v>374.6</v>
          </cell>
          <cell r="K14">
            <v>376.2</v>
          </cell>
          <cell r="L14">
            <v>377</v>
          </cell>
          <cell r="M14">
            <v>377.6</v>
          </cell>
          <cell r="O14">
            <v>371.29166666666657</v>
          </cell>
          <cell r="Q14">
            <v>4.8032366570225547E-2</v>
          </cell>
        </row>
        <row r="15">
          <cell r="A15">
            <v>1990</v>
          </cell>
          <cell r="B15">
            <v>381.5</v>
          </cell>
          <cell r="C15">
            <v>383.3</v>
          </cell>
          <cell r="D15">
            <v>385.5</v>
          </cell>
          <cell r="E15">
            <v>386.2</v>
          </cell>
          <cell r="F15">
            <v>386.9</v>
          </cell>
          <cell r="G15">
            <v>389.1</v>
          </cell>
          <cell r="H15">
            <v>390.7</v>
          </cell>
          <cell r="I15">
            <v>394.1</v>
          </cell>
          <cell r="J15">
            <v>397.5</v>
          </cell>
          <cell r="K15">
            <v>400</v>
          </cell>
          <cell r="L15">
            <v>400.7</v>
          </cell>
          <cell r="M15">
            <v>400.9</v>
          </cell>
          <cell r="O15">
            <v>391.36666666666662</v>
          </cell>
          <cell r="Q15">
            <v>5.4068005835484372E-2</v>
          </cell>
        </row>
        <row r="16">
          <cell r="A16">
            <v>1991</v>
          </cell>
          <cell r="B16">
            <v>403.1</v>
          </cell>
          <cell r="C16">
            <v>403.8</v>
          </cell>
          <cell r="D16">
            <v>404.3</v>
          </cell>
          <cell r="E16">
            <v>405.1</v>
          </cell>
          <cell r="F16">
            <v>406.3</v>
          </cell>
          <cell r="G16">
            <v>407.3</v>
          </cell>
          <cell r="H16">
            <v>408</v>
          </cell>
          <cell r="I16">
            <v>409.2</v>
          </cell>
          <cell r="J16">
            <v>411.1</v>
          </cell>
          <cell r="K16">
            <v>411.5</v>
          </cell>
          <cell r="L16">
            <v>412.7</v>
          </cell>
          <cell r="M16">
            <v>413</v>
          </cell>
          <cell r="O16">
            <v>407.95</v>
          </cell>
          <cell r="Q16">
            <v>4.2372881355932306E-2</v>
          </cell>
        </row>
        <row r="17">
          <cell r="A17">
            <v>1992</v>
          </cell>
          <cell r="B17">
            <v>413.8</v>
          </cell>
          <cell r="C17">
            <v>415.2</v>
          </cell>
          <cell r="D17">
            <v>417.2</v>
          </cell>
          <cell r="E17">
            <v>417.9</v>
          </cell>
          <cell r="F17">
            <v>418.6</v>
          </cell>
          <cell r="G17">
            <v>419.9</v>
          </cell>
          <cell r="H17">
            <v>420.8</v>
          </cell>
          <cell r="I17">
            <v>422</v>
          </cell>
          <cell r="J17">
            <v>423.2</v>
          </cell>
          <cell r="K17">
            <v>424.7</v>
          </cell>
          <cell r="L17">
            <v>425.3</v>
          </cell>
          <cell r="M17">
            <v>425.2</v>
          </cell>
          <cell r="O17">
            <v>420.31666666666666</v>
          </cell>
          <cell r="Q17">
            <v>3.0314172488458573E-2</v>
          </cell>
        </row>
        <row r="18">
          <cell r="A18">
            <v>1993</v>
          </cell>
          <cell r="B18">
            <v>427</v>
          </cell>
          <cell r="C18">
            <v>428.7</v>
          </cell>
          <cell r="D18">
            <v>430.1</v>
          </cell>
          <cell r="E18">
            <v>431.2</v>
          </cell>
          <cell r="F18">
            <v>432</v>
          </cell>
          <cell r="G18">
            <v>432.4</v>
          </cell>
          <cell r="H18">
            <v>432.6</v>
          </cell>
          <cell r="I18">
            <v>433.9</v>
          </cell>
          <cell r="J18">
            <v>434.7</v>
          </cell>
          <cell r="K18">
            <v>436.4</v>
          </cell>
          <cell r="L18">
            <v>436.9</v>
          </cell>
          <cell r="M18">
            <v>436.8</v>
          </cell>
          <cell r="O18">
            <v>432.72499999999997</v>
          </cell>
          <cell r="Q18">
            <v>2.9521392600816772E-2</v>
          </cell>
        </row>
        <row r="19">
          <cell r="A19">
            <v>1994</v>
          </cell>
          <cell r="B19">
            <v>437.8</v>
          </cell>
          <cell r="C19">
            <v>439.3</v>
          </cell>
          <cell r="D19">
            <v>441.1</v>
          </cell>
          <cell r="E19">
            <v>441.4</v>
          </cell>
          <cell r="F19">
            <v>441.9</v>
          </cell>
          <cell r="G19">
            <v>443.3</v>
          </cell>
          <cell r="H19">
            <v>444.4</v>
          </cell>
          <cell r="I19">
            <v>446.4</v>
          </cell>
          <cell r="J19">
            <v>447.5</v>
          </cell>
          <cell r="K19">
            <v>448</v>
          </cell>
          <cell r="L19">
            <v>448.6</v>
          </cell>
          <cell r="M19">
            <v>448.4</v>
          </cell>
          <cell r="O19">
            <v>444.00833333333338</v>
          </cell>
          <cell r="Q19">
            <v>2.6075066920869878E-2</v>
          </cell>
        </row>
        <row r="20">
          <cell r="A20">
            <v>1995</v>
          </cell>
          <cell r="B20">
            <v>450.3</v>
          </cell>
          <cell r="C20">
            <v>452</v>
          </cell>
          <cell r="D20">
            <v>453.5</v>
          </cell>
          <cell r="E20">
            <v>455</v>
          </cell>
          <cell r="F20">
            <v>455.8</v>
          </cell>
          <cell r="G20">
            <v>456.7</v>
          </cell>
          <cell r="H20">
            <v>457</v>
          </cell>
          <cell r="I20">
            <v>458</v>
          </cell>
          <cell r="J20">
            <v>459</v>
          </cell>
          <cell r="K20">
            <v>460.3</v>
          </cell>
          <cell r="L20">
            <v>460.1</v>
          </cell>
          <cell r="M20">
            <v>459.9</v>
          </cell>
          <cell r="O20">
            <v>456.46666666666664</v>
          </cell>
          <cell r="Q20">
            <v>2.8058782680505073E-2</v>
          </cell>
        </row>
        <row r="21">
          <cell r="A21">
            <v>1996</v>
          </cell>
          <cell r="B21">
            <v>462.5</v>
          </cell>
          <cell r="C21">
            <v>464.2</v>
          </cell>
          <cell r="D21">
            <v>466.6</v>
          </cell>
          <cell r="E21">
            <v>468.2</v>
          </cell>
          <cell r="F21">
            <v>469</v>
          </cell>
          <cell r="G21">
            <v>469.5</v>
          </cell>
          <cell r="H21">
            <v>470.4</v>
          </cell>
          <cell r="I21">
            <v>471.1</v>
          </cell>
          <cell r="J21">
            <v>472.7</v>
          </cell>
          <cell r="K21">
            <v>474.1</v>
          </cell>
          <cell r="L21">
            <v>475</v>
          </cell>
          <cell r="M21">
            <v>475</v>
          </cell>
          <cell r="O21">
            <v>469.85833333333335</v>
          </cell>
          <cell r="Q21">
            <v>2.9337666131152424E-2</v>
          </cell>
        </row>
        <row r="22">
          <cell r="A22">
            <v>1997</v>
          </cell>
          <cell r="B22">
            <v>476.7</v>
          </cell>
          <cell r="C22">
            <v>478.2</v>
          </cell>
          <cell r="D22">
            <v>479.3</v>
          </cell>
          <cell r="E22">
            <v>479.7</v>
          </cell>
          <cell r="F22">
            <v>479.6</v>
          </cell>
          <cell r="G22">
            <v>480.2</v>
          </cell>
          <cell r="H22">
            <v>480.7</v>
          </cell>
          <cell r="I22">
            <v>481.6</v>
          </cell>
          <cell r="J22">
            <v>483</v>
          </cell>
          <cell r="K22">
            <v>484.1</v>
          </cell>
          <cell r="L22">
            <v>483.9</v>
          </cell>
          <cell r="M22">
            <v>483.2</v>
          </cell>
          <cell r="O22">
            <v>480.84999999999997</v>
          </cell>
          <cell r="Q22">
            <v>2.3393576077895713E-2</v>
          </cell>
        </row>
        <row r="23">
          <cell r="A23">
            <v>1998</v>
          </cell>
          <cell r="B23">
            <v>484.2</v>
          </cell>
          <cell r="C23">
            <v>484.9</v>
          </cell>
          <cell r="D23">
            <v>485.8</v>
          </cell>
          <cell r="E23">
            <v>486.8</v>
          </cell>
          <cell r="F23">
            <v>487.7</v>
          </cell>
          <cell r="G23">
            <v>488.2</v>
          </cell>
          <cell r="H23">
            <v>488.8</v>
          </cell>
          <cell r="I23">
            <v>489.6</v>
          </cell>
          <cell r="J23">
            <v>490.1</v>
          </cell>
          <cell r="K23">
            <v>491.3</v>
          </cell>
          <cell r="L23">
            <v>491.3</v>
          </cell>
          <cell r="M23">
            <v>491</v>
          </cell>
          <cell r="O23">
            <v>488.30833333333334</v>
          </cell>
          <cell r="Q23">
            <v>1.5510727531108187E-2</v>
          </cell>
        </row>
        <row r="24">
          <cell r="A24">
            <v>1999</v>
          </cell>
          <cell r="B24">
            <v>492.3</v>
          </cell>
          <cell r="C24">
            <v>492.9</v>
          </cell>
          <cell r="D24">
            <v>494.4</v>
          </cell>
          <cell r="E24">
            <v>497.8</v>
          </cell>
          <cell r="F24">
            <v>497.7</v>
          </cell>
          <cell r="G24">
            <v>497.9</v>
          </cell>
          <cell r="H24">
            <v>499.2</v>
          </cell>
          <cell r="I24">
            <v>500.7</v>
          </cell>
          <cell r="J24">
            <v>502.9</v>
          </cell>
          <cell r="K24">
            <v>503.9</v>
          </cell>
          <cell r="L24">
            <v>504.1</v>
          </cell>
          <cell r="M24">
            <v>504.1</v>
          </cell>
          <cell r="O24">
            <v>498.99166666666662</v>
          </cell>
          <cell r="Q24">
            <v>2.1878253152891679E-2</v>
          </cell>
        </row>
        <row r="25">
          <cell r="A25">
            <v>2000</v>
          </cell>
          <cell r="B25">
            <v>505.8</v>
          </cell>
          <cell r="C25">
            <v>508.7</v>
          </cell>
          <cell r="D25">
            <v>512.79999999999995</v>
          </cell>
          <cell r="E25">
            <v>513.20000000000005</v>
          </cell>
          <cell r="F25">
            <v>513.6</v>
          </cell>
          <cell r="G25">
            <v>516.5</v>
          </cell>
          <cell r="H25">
            <v>517.5</v>
          </cell>
          <cell r="I25">
            <v>517.6</v>
          </cell>
          <cell r="J25">
            <v>520.29999999999995</v>
          </cell>
          <cell r="K25">
            <v>521.20000000000005</v>
          </cell>
          <cell r="L25">
            <v>521.5</v>
          </cell>
          <cell r="M25">
            <v>521.1</v>
          </cell>
          <cell r="O25">
            <v>515.81666666666672</v>
          </cell>
          <cell r="Q25">
            <v>3.3717997962558033E-2</v>
          </cell>
        </row>
        <row r="26">
          <cell r="A26">
            <v>2001</v>
          </cell>
          <cell r="B26">
            <v>524.5</v>
          </cell>
          <cell r="C26">
            <v>526.70000000000005</v>
          </cell>
          <cell r="D26">
            <v>528</v>
          </cell>
          <cell r="E26">
            <v>529.9</v>
          </cell>
          <cell r="F26">
            <v>532.20000000000005</v>
          </cell>
          <cell r="G26">
            <v>533.29999999999995</v>
          </cell>
          <cell r="H26">
            <v>531.6</v>
          </cell>
          <cell r="I26">
            <v>531.79999999999995</v>
          </cell>
          <cell r="J26">
            <v>534</v>
          </cell>
          <cell r="K26">
            <v>532.20000000000005</v>
          </cell>
          <cell r="L26">
            <v>531.29999999999995</v>
          </cell>
          <cell r="M26">
            <v>529.20000000000005</v>
          </cell>
          <cell r="O26">
            <v>530.39166666666665</v>
          </cell>
          <cell r="Q26">
            <v>2.8256163365536716E-2</v>
          </cell>
        </row>
        <row r="27">
          <cell r="A27">
            <v>2002</v>
          </cell>
          <cell r="B27">
            <v>530.6</v>
          </cell>
          <cell r="C27">
            <v>532.70000000000005</v>
          </cell>
          <cell r="D27">
            <v>535.5</v>
          </cell>
          <cell r="E27">
            <v>538.6</v>
          </cell>
          <cell r="F27">
            <v>538.5</v>
          </cell>
          <cell r="G27">
            <v>538.9</v>
          </cell>
          <cell r="H27">
            <v>539.5</v>
          </cell>
          <cell r="I27">
            <v>541.20000000000005</v>
          </cell>
          <cell r="J27">
            <v>542.1</v>
          </cell>
          <cell r="K27">
            <v>543.20000000000005</v>
          </cell>
          <cell r="L27">
            <v>543.1</v>
          </cell>
          <cell r="M27">
            <v>541.9</v>
          </cell>
          <cell r="O27">
            <v>538.81666666666672</v>
          </cell>
          <cell r="Q27">
            <v>1.5884487878454732E-2</v>
          </cell>
        </row>
        <row r="28">
          <cell r="A28">
            <v>2003</v>
          </cell>
          <cell r="B28">
            <v>544.20000000000005</v>
          </cell>
          <cell r="C28">
            <v>548.5</v>
          </cell>
          <cell r="D28">
            <v>551.79999999999995</v>
          </cell>
          <cell r="E28">
            <v>550.5</v>
          </cell>
          <cell r="F28">
            <v>549.70000000000005</v>
          </cell>
          <cell r="G28">
            <v>550.4</v>
          </cell>
          <cell r="H28">
            <v>550.9</v>
          </cell>
          <cell r="I28">
            <v>553</v>
          </cell>
          <cell r="J28">
            <v>554.70000000000005</v>
          </cell>
          <cell r="K28">
            <v>554.29999999999995</v>
          </cell>
          <cell r="L28">
            <v>552.70000000000005</v>
          </cell>
          <cell r="M28">
            <v>552.1</v>
          </cell>
          <cell r="O28">
            <v>551.06666666666672</v>
          </cell>
          <cell r="Q28">
            <v>2.2735005722416404E-2</v>
          </cell>
        </row>
        <row r="29">
          <cell r="A29">
            <v>2004</v>
          </cell>
          <cell r="B29">
            <v>554.9</v>
          </cell>
          <cell r="C29">
            <v>557.9</v>
          </cell>
          <cell r="D29">
            <v>561.5</v>
          </cell>
          <cell r="E29">
            <v>563.20000000000005</v>
          </cell>
          <cell r="F29">
            <v>566.4</v>
          </cell>
          <cell r="G29">
            <v>568.20000000000005</v>
          </cell>
          <cell r="H29">
            <v>567.5</v>
          </cell>
          <cell r="I29">
            <v>567.6</v>
          </cell>
          <cell r="J29">
            <v>568.70000000000005</v>
          </cell>
          <cell r="K29">
            <v>571.9</v>
          </cell>
          <cell r="L29">
            <v>572.20000000000005</v>
          </cell>
          <cell r="M29">
            <v>570.1</v>
          </cell>
          <cell r="O29">
            <v>565.8416666666667</v>
          </cell>
          <cell r="Q29">
            <v>2.6811638035325387E-2</v>
          </cell>
        </row>
        <row r="30">
          <cell r="A30">
            <v>2005</v>
          </cell>
          <cell r="B30">
            <v>571.20000000000005</v>
          </cell>
          <cell r="C30">
            <v>574.5</v>
          </cell>
          <cell r="D30">
            <v>579</v>
          </cell>
          <cell r="E30">
            <v>582.9</v>
          </cell>
          <cell r="F30">
            <v>582.4</v>
          </cell>
          <cell r="G30">
            <v>582.6</v>
          </cell>
          <cell r="H30">
            <v>585.20000000000005</v>
          </cell>
          <cell r="I30">
            <v>588.20000000000005</v>
          </cell>
          <cell r="J30">
            <v>595.4</v>
          </cell>
          <cell r="K30">
            <v>596.70000000000005</v>
          </cell>
          <cell r="L30">
            <v>592</v>
          </cell>
          <cell r="M30">
            <v>589.4</v>
          </cell>
          <cell r="O30">
            <v>584.95833333333326</v>
          </cell>
          <cell r="Q30">
            <v>3.378448034638646E-2</v>
          </cell>
        </row>
        <row r="31">
          <cell r="A31">
            <v>2006</v>
          </cell>
          <cell r="B31">
            <v>593.9</v>
          </cell>
          <cell r="C31">
            <v>595.20000000000005</v>
          </cell>
          <cell r="D31">
            <v>598.6</v>
          </cell>
          <cell r="E31">
            <v>603.5</v>
          </cell>
          <cell r="F31">
            <v>606.5</v>
          </cell>
          <cell r="G31">
            <v>607.79999999999995</v>
          </cell>
          <cell r="H31">
            <v>609.6</v>
          </cell>
          <cell r="I31">
            <v>610.9</v>
          </cell>
          <cell r="J31">
            <v>607.9</v>
          </cell>
          <cell r="K31">
            <v>604.6</v>
          </cell>
          <cell r="L31">
            <v>603.6</v>
          </cell>
          <cell r="M31">
            <v>604.5</v>
          </cell>
          <cell r="O31">
            <v>603.88333333333333</v>
          </cell>
          <cell r="Q31">
            <v>3.2352731676045424E-2</v>
          </cell>
        </row>
        <row r="32">
          <cell r="A32">
            <v>2007</v>
          </cell>
          <cell r="B32">
            <v>606.34799999999996</v>
          </cell>
          <cell r="C32">
            <v>609.59400000000005</v>
          </cell>
          <cell r="D32">
            <v>615.14499999999998</v>
          </cell>
          <cell r="E32">
            <v>619.14</v>
          </cell>
          <cell r="F32">
            <v>622.92100000000005</v>
          </cell>
          <cell r="G32">
            <v>624.12900000000002</v>
          </cell>
          <cell r="H32">
            <v>623.97</v>
          </cell>
          <cell r="I32">
            <v>622.827</v>
          </cell>
          <cell r="J32">
            <v>624.54300000000001</v>
          </cell>
          <cell r="K32">
            <v>625.87900000000002</v>
          </cell>
          <cell r="L32">
            <v>629.59799999999996</v>
          </cell>
          <cell r="M32">
            <v>629.17399999999998</v>
          </cell>
          <cell r="O32">
            <v>621.10566666666671</v>
          </cell>
          <cell r="Q32">
            <v>2.8519305605387433E-2</v>
          </cell>
        </row>
        <row r="33">
          <cell r="A33">
            <v>2008</v>
          </cell>
          <cell r="B33">
            <v>632.30100000000004</v>
          </cell>
          <cell r="C33">
            <v>634.13900000000001</v>
          </cell>
          <cell r="D33">
            <v>639.63599999999997</v>
          </cell>
          <cell r="E33">
            <v>643.51499999999999</v>
          </cell>
          <cell r="F33">
            <v>648.93299999999999</v>
          </cell>
          <cell r="G33">
            <v>655.47400000000005</v>
          </cell>
          <cell r="H33">
            <v>658.91499999999996</v>
          </cell>
          <cell r="I33">
            <v>656.28399999999999</v>
          </cell>
          <cell r="J33">
            <v>655.37599999999998</v>
          </cell>
          <cell r="K33">
            <v>648.75800000000004</v>
          </cell>
          <cell r="L33">
            <v>636.33199999999999</v>
          </cell>
          <cell r="M33">
            <v>629.75099999999998</v>
          </cell>
          <cell r="O33">
            <v>644.95116666666672</v>
          </cell>
          <cell r="Q33">
            <v>3.8392018105346565E-2</v>
          </cell>
        </row>
        <row r="34">
          <cell r="A34">
            <v>2009</v>
          </cell>
          <cell r="B34">
            <v>632.49099999999999</v>
          </cell>
          <cell r="C34">
            <v>635.63699999999994</v>
          </cell>
          <cell r="D34">
            <v>637.18200000000002</v>
          </cell>
          <cell r="E34">
            <v>638.77099999999996</v>
          </cell>
          <cell r="F34">
            <v>640.61599999999999</v>
          </cell>
          <cell r="G34">
            <v>646.12099999999998</v>
          </cell>
          <cell r="H34">
            <v>645.096</v>
          </cell>
          <cell r="I34">
            <v>646.54399999999998</v>
          </cell>
          <cell r="J34">
            <v>646.94799999999998</v>
          </cell>
          <cell r="K34">
            <v>647.57000000000005</v>
          </cell>
          <cell r="L34">
            <v>648.02800000000002</v>
          </cell>
          <cell r="M34">
            <v>646.88699999999994</v>
          </cell>
          <cell r="O34">
            <v>642.65758333333338</v>
          </cell>
          <cell r="Q34">
            <v>-3.5562123954087656E-3</v>
          </cell>
        </row>
        <row r="35">
          <cell r="A35">
            <v>2010</v>
          </cell>
          <cell r="B35">
            <v>649.09799999999996</v>
          </cell>
          <cell r="C35">
            <v>649.25900000000001</v>
          </cell>
          <cell r="D35">
            <v>651.92499999999995</v>
          </cell>
          <cell r="E35">
            <v>653.05899999999997</v>
          </cell>
          <cell r="F35">
            <v>653.56399999999996</v>
          </cell>
          <cell r="G35">
            <v>652.92600000000004</v>
          </cell>
          <cell r="H35">
            <v>653.06600000000003</v>
          </cell>
          <cell r="I35">
            <v>653.96600000000001</v>
          </cell>
          <cell r="J35">
            <v>654.346</v>
          </cell>
          <cell r="K35">
            <v>655.16200000000003</v>
          </cell>
          <cell r="L35">
            <v>655.43799999999999</v>
          </cell>
          <cell r="M35">
            <v>656.56299999999999</v>
          </cell>
          <cell r="O35">
            <v>653.19766666666681</v>
          </cell>
          <cell r="Q35">
            <v>1.6400776411388741E-2</v>
          </cell>
        </row>
        <row r="36">
          <cell r="A36">
            <v>2011</v>
          </cell>
          <cell r="B36">
            <v>659.69200000000001</v>
          </cell>
          <cell r="C36">
            <v>662.94299999999998</v>
          </cell>
          <cell r="D36">
            <v>669.40899999999999</v>
          </cell>
          <cell r="E36">
            <v>673.71699999999998</v>
          </cell>
          <cell r="F36">
            <v>676.88699999999994</v>
          </cell>
          <cell r="G36">
            <v>676.16200000000003</v>
          </cell>
          <cell r="H36">
            <v>676.76199999999994</v>
          </cell>
          <cell r="I36">
            <v>678.62800000000004</v>
          </cell>
          <cell r="J36">
            <v>679.65800000000002</v>
          </cell>
          <cell r="K36">
            <v>678.25800000000004</v>
          </cell>
          <cell r="L36">
            <v>677.68399999999997</v>
          </cell>
          <cell r="M36">
            <v>676.01400000000001</v>
          </cell>
          <cell r="O36">
            <v>673.8178333333334</v>
          </cell>
          <cell r="Q36">
            <v>3.1568034790897787E-2</v>
          </cell>
        </row>
        <row r="37">
          <cell r="A37">
            <v>2012</v>
          </cell>
          <cell r="B37">
            <v>678.98800000000006</v>
          </cell>
          <cell r="C37">
            <v>681.97699999999998</v>
          </cell>
          <cell r="D37">
            <v>687.15700000000004</v>
          </cell>
          <cell r="E37">
            <v>689.23199999999997</v>
          </cell>
          <cell r="F37">
            <v>688.423</v>
          </cell>
          <cell r="G37">
            <v>687.41499999999996</v>
          </cell>
          <cell r="H37">
            <v>686.29399999999998</v>
          </cell>
          <cell r="I37">
            <v>690.11300000000006</v>
          </cell>
          <cell r="J37">
            <v>693.19200000000001</v>
          </cell>
          <cell r="K37">
            <v>692.923</v>
          </cell>
          <cell r="L37">
            <v>689.63900000000001</v>
          </cell>
          <cell r="M37">
            <v>687.78200000000004</v>
          </cell>
          <cell r="O37">
            <v>687.76125000000002</v>
          </cell>
          <cell r="Q37">
            <v>2.0693154702791757E-2</v>
          </cell>
        </row>
        <row r="38">
          <cell r="A38">
            <v>2013</v>
          </cell>
          <cell r="B38">
            <v>689.81799999999998</v>
          </cell>
          <cell r="C38">
            <v>695.46699999999998</v>
          </cell>
          <cell r="D38">
            <v>697.28399999999999</v>
          </cell>
          <cell r="E38">
            <v>696.56100000000004</v>
          </cell>
          <cell r="F38">
            <v>697.798</v>
          </cell>
          <cell r="G38">
            <v>699.47299999999996</v>
          </cell>
          <cell r="H38">
            <v>699.75099999999998</v>
          </cell>
          <cell r="I38">
            <v>700.59299999999996</v>
          </cell>
          <cell r="J38">
            <v>701.40599999999995</v>
          </cell>
          <cell r="K38">
            <v>699.601</v>
          </cell>
          <cell r="L38">
            <v>698.17100000000005</v>
          </cell>
          <cell r="M38">
            <v>698.11</v>
          </cell>
          <cell r="O38">
            <v>697.83608333333325</v>
          </cell>
          <cell r="Q38">
            <v>1.4648736510428919E-2</v>
          </cell>
        </row>
        <row r="39">
          <cell r="A39">
            <v>2014</v>
          </cell>
          <cell r="B39">
            <v>700.71</v>
          </cell>
          <cell r="C39">
            <v>703.3</v>
          </cell>
          <cell r="D39">
            <v>707.83</v>
          </cell>
          <cell r="E39">
            <v>708.33921527777784</v>
          </cell>
          <cell r="F39">
            <v>708.84843055555564</v>
          </cell>
          <cell r="G39">
            <v>709.35764583333344</v>
          </cell>
          <cell r="H39">
            <v>709.86686111111123</v>
          </cell>
          <cell r="I39">
            <v>710.37607638888903</v>
          </cell>
          <cell r="J39">
            <v>710.88529166666683</v>
          </cell>
          <cell r="K39">
            <v>711.39450694444463</v>
          </cell>
          <cell r="L39">
            <v>711.90372222222243</v>
          </cell>
          <cell r="M39">
            <v>712.41293750000023</v>
          </cell>
          <cell r="O39">
            <v>703.94666666666672</v>
          </cell>
          <cell r="Q39">
            <v>8.7564737325493709E-3</v>
          </cell>
        </row>
        <row r="40">
          <cell r="A40">
            <v>2015</v>
          </cell>
          <cell r="B40">
            <v>712.92215277777802</v>
          </cell>
          <cell r="C40">
            <v>654.2599305555558</v>
          </cell>
          <cell r="D40">
            <v>595.59770833333357</v>
          </cell>
          <cell r="E40">
            <v>536.93548611111135</v>
          </cell>
          <cell r="F40">
            <v>478.27326388888912</v>
          </cell>
          <cell r="G40">
            <v>419.61104166666689</v>
          </cell>
          <cell r="H40">
            <v>360.94881944444467</v>
          </cell>
          <cell r="I40">
            <v>302.28659722222244</v>
          </cell>
          <cell r="J40">
            <v>243.62437500000021</v>
          </cell>
          <cell r="K40">
            <v>184.96215277777799</v>
          </cell>
          <cell r="L40">
            <v>126.29993055555576</v>
          </cell>
          <cell r="M40">
            <v>67.637708333333535</v>
          </cell>
        </row>
      </sheetData>
      <sheetData sheetId="6"/>
      <sheetData sheetId="7"/>
      <sheetData sheetId="8"/>
      <sheetData sheetId="9">
        <row r="12">
          <cell r="W12">
            <v>1.46E-2</v>
          </cell>
          <cell r="AE12">
            <v>23509780.449471872</v>
          </cell>
        </row>
        <row r="14">
          <cell r="AE14">
            <v>0</v>
          </cell>
        </row>
        <row r="27">
          <cell r="G27">
            <v>23509780.449471872</v>
          </cell>
        </row>
        <row r="36">
          <cell r="G36">
            <v>7231866.0014824104</v>
          </cell>
        </row>
        <row r="46">
          <cell r="A46">
            <v>41729</v>
          </cell>
        </row>
        <row r="48">
          <cell r="A48">
            <v>41820</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F"/>
      <sheetName val="AMHT"/>
      <sheetName val="Recon"/>
      <sheetName val="BiTechData"/>
      <sheetName val="High Precision Test"/>
      <sheetName val="CPI"/>
      <sheetName val="RevenueForecast"/>
      <sheetName val="Proj FYE"/>
      <sheetName val="Mid-YR  Res"/>
      <sheetName val="YR End Res"/>
      <sheetName val="Instructions"/>
    </sheetNames>
    <sheetDataSet>
      <sheetData sheetId="0">
        <row r="1">
          <cell r="P1">
            <v>1000000</v>
          </cell>
        </row>
      </sheetData>
      <sheetData sheetId="1"/>
      <sheetData sheetId="2"/>
      <sheetData sheetId="3">
        <row r="1">
          <cell r="A1">
            <v>41729</v>
          </cell>
          <cell r="B1" t="str">
            <v>APFC Current</v>
          </cell>
          <cell r="C1" t="str">
            <v>APFC Total</v>
          </cell>
          <cell r="D1" t="str">
            <v>AMHT Current</v>
          </cell>
          <cell r="E1" t="str">
            <v>AMHT Total</v>
          </cell>
        </row>
        <row r="2">
          <cell r="A2" t="str">
            <v>1. End of period</v>
          </cell>
          <cell r="B2">
            <v>0</v>
          </cell>
          <cell r="C2">
            <v>50399323492.07</v>
          </cell>
          <cell r="D2">
            <v>0</v>
          </cell>
          <cell r="E2">
            <v>444389500.60000002</v>
          </cell>
        </row>
        <row r="3">
          <cell r="A3" t="str">
            <v>2. 11400 State Dedicated Revenues</v>
          </cell>
          <cell r="B3">
            <v>0</v>
          </cell>
          <cell r="C3">
            <v>35858391.960000001</v>
          </cell>
          <cell r="D3">
            <v>0</v>
          </cell>
          <cell r="E3">
            <v>0</v>
          </cell>
        </row>
        <row r="4">
          <cell r="A4" t="str">
            <v>3. 13990 RE GASB 31 MV</v>
          </cell>
          <cell r="B4">
            <v>0</v>
          </cell>
          <cell r="C4">
            <v>0</v>
          </cell>
          <cell r="D4">
            <v>0</v>
          </cell>
          <cell r="E4">
            <v>0</v>
          </cell>
        </row>
        <row r="5">
          <cell r="A5" t="str">
            <v>4. Legislative Appropriations Payable</v>
          </cell>
          <cell r="B5">
            <v>0</v>
          </cell>
          <cell r="C5">
            <v>0</v>
          </cell>
          <cell r="D5">
            <v>0</v>
          </cell>
          <cell r="E5">
            <v>0</v>
          </cell>
        </row>
        <row r="6">
          <cell r="A6" t="str">
            <v>5. July Legislative Appropriations Payable</v>
          </cell>
          <cell r="B6">
            <v>0</v>
          </cell>
          <cell r="C6">
            <v>0</v>
          </cell>
          <cell r="D6">
            <v>0</v>
          </cell>
          <cell r="E6">
            <v>0</v>
          </cell>
        </row>
        <row r="7">
          <cell r="A7" t="str">
            <v>Absolute Return bs</v>
          </cell>
          <cell r="B7">
            <v>0</v>
          </cell>
          <cell r="C7">
            <v>2704593299.0100002</v>
          </cell>
          <cell r="D7">
            <v>0</v>
          </cell>
          <cell r="E7">
            <v>24142752.010000002</v>
          </cell>
        </row>
        <row r="8">
          <cell r="A8" t="str">
            <v>Absolute Return is</v>
          </cell>
          <cell r="B8">
            <v>25237148.789999999</v>
          </cell>
          <cell r="C8">
            <v>109855985.22</v>
          </cell>
          <cell r="D8">
            <v>222905.03</v>
          </cell>
          <cell r="E8">
            <v>1005149.23</v>
          </cell>
        </row>
        <row r="9">
          <cell r="A9" t="str">
            <v>Accounts payable bs</v>
          </cell>
          <cell r="B9">
            <v>0</v>
          </cell>
          <cell r="C9">
            <v>709993691.17999995</v>
          </cell>
          <cell r="D9">
            <v>0</v>
          </cell>
          <cell r="E9">
            <v>6523703.1900000004</v>
          </cell>
        </row>
        <row r="10">
          <cell r="A10" t="str">
            <v>Alaska certificates of deposit</v>
          </cell>
          <cell r="B10">
            <v>0</v>
          </cell>
          <cell r="C10">
            <v>0</v>
          </cell>
          <cell r="D10">
            <v>0</v>
          </cell>
          <cell r="E10">
            <v>0</v>
          </cell>
        </row>
        <row r="11">
          <cell r="A11" t="str">
            <v>Alternative Investments cost</v>
          </cell>
          <cell r="B11">
            <v>0</v>
          </cell>
          <cell r="C11">
            <v>10434206178.209999</v>
          </cell>
          <cell r="D11">
            <v>0</v>
          </cell>
          <cell r="E11">
            <v>95873618.069999993</v>
          </cell>
        </row>
        <row r="12">
          <cell r="A12" t="str">
            <v>Beginning of period</v>
          </cell>
          <cell r="B12">
            <v>0</v>
          </cell>
          <cell r="C12">
            <v>44853334386.860001</v>
          </cell>
          <cell r="D12">
            <v>0</v>
          </cell>
          <cell r="E12">
            <v>416993849.18000001</v>
          </cell>
        </row>
        <row r="13">
          <cell r="A13" t="str">
            <v>Cash and temporary investments</v>
          </cell>
          <cell r="B13">
            <v>0</v>
          </cell>
          <cell r="C13">
            <v>2250383231.3800001</v>
          </cell>
          <cell r="D13">
            <v>0</v>
          </cell>
          <cell r="E13">
            <v>20677963.440000001</v>
          </cell>
        </row>
        <row r="14">
          <cell r="A14" t="str">
            <v>Contributions and appropriations</v>
          </cell>
          <cell r="B14">
            <v>0</v>
          </cell>
          <cell r="C14">
            <v>37183854812.910004</v>
          </cell>
          <cell r="D14">
            <v>0</v>
          </cell>
          <cell r="E14">
            <v>344182104.16000003</v>
          </cell>
        </row>
        <row r="15">
          <cell r="A15" t="str">
            <v>Currency</v>
          </cell>
          <cell r="B15">
            <v>1288723.1399999999</v>
          </cell>
          <cell r="C15">
            <v>-73920061.150000006</v>
          </cell>
          <cell r="D15">
            <v>11382.54</v>
          </cell>
          <cell r="E15">
            <v>-682597.31</v>
          </cell>
        </row>
        <row r="16">
          <cell r="A16" t="str">
            <v>Derivative Instruments</v>
          </cell>
          <cell r="B16">
            <v>-4791491.24</v>
          </cell>
          <cell r="C16">
            <v>-11655107.49</v>
          </cell>
          <cell r="D16">
            <v>-42320.46</v>
          </cell>
          <cell r="E16">
            <v>-106052.94</v>
          </cell>
        </row>
        <row r="17">
          <cell r="A17" t="str">
            <v>Distressed Debt bs</v>
          </cell>
          <cell r="B17">
            <v>0</v>
          </cell>
          <cell r="C17">
            <v>1125457903.04</v>
          </cell>
          <cell r="D17">
            <v>0</v>
          </cell>
          <cell r="E17">
            <v>9696202.7300000004</v>
          </cell>
        </row>
        <row r="18">
          <cell r="A18" t="str">
            <v>Distressed Debt is</v>
          </cell>
          <cell r="B18">
            <v>10847069.800000001</v>
          </cell>
          <cell r="C18">
            <v>91087215.030000001</v>
          </cell>
          <cell r="D18">
            <v>95805.85</v>
          </cell>
          <cell r="E18">
            <v>837010.21</v>
          </cell>
        </row>
        <row r="19">
          <cell r="A19" t="str">
            <v>Dividends is</v>
          </cell>
          <cell r="B19">
            <v>69298957.189999998</v>
          </cell>
          <cell r="C19">
            <v>433801523.82999998</v>
          </cell>
          <cell r="D19">
            <v>612077.32999999996</v>
          </cell>
          <cell r="E19">
            <v>3981146.28</v>
          </cell>
        </row>
        <row r="20">
          <cell r="A20" t="str">
            <v>Dividends Receivable</v>
          </cell>
          <cell r="B20">
            <v>0</v>
          </cell>
          <cell r="C20">
            <v>53672243.310000002</v>
          </cell>
          <cell r="D20">
            <v>0</v>
          </cell>
          <cell r="E20">
            <v>493161.82</v>
          </cell>
        </row>
        <row r="21">
          <cell r="A21" t="str">
            <v>Emerging is</v>
          </cell>
          <cell r="B21">
            <v>8619740.0199999996</v>
          </cell>
          <cell r="C21">
            <v>26000351.469999999</v>
          </cell>
          <cell r="D21">
            <v>76133.149999999994</v>
          </cell>
          <cell r="E21">
            <v>236654.17</v>
          </cell>
        </row>
        <row r="22">
          <cell r="A22" t="str">
            <v>Emerging Markets bs</v>
          </cell>
          <cell r="B22">
            <v>0</v>
          </cell>
          <cell r="C22">
            <v>850090168.65999997</v>
          </cell>
          <cell r="D22">
            <v>0</v>
          </cell>
          <cell r="E22">
            <v>7993974.5499999998</v>
          </cell>
        </row>
        <row r="23">
          <cell r="A23" t="str">
            <v>End of period</v>
          </cell>
          <cell r="B23">
            <v>0</v>
          </cell>
          <cell r="C23">
            <v>50399323492.07</v>
          </cell>
          <cell r="D23">
            <v>0</v>
          </cell>
          <cell r="E23">
            <v>444389500.60000002</v>
          </cell>
        </row>
        <row r="24">
          <cell r="A24" t="str">
            <v>Equities Cost</v>
          </cell>
          <cell r="B24">
            <v>0</v>
          </cell>
          <cell r="C24">
            <v>17738767484.16</v>
          </cell>
          <cell r="D24">
            <v>0</v>
          </cell>
          <cell r="E24">
            <v>162990819.72</v>
          </cell>
        </row>
        <row r="25">
          <cell r="A25" t="str">
            <v>Excess (deficiency) of revenue over expenditures</v>
          </cell>
          <cell r="B25">
            <v>288938461.37</v>
          </cell>
          <cell r="C25">
            <v>4977342857.3800001</v>
          </cell>
          <cell r="D25">
            <v>2552025.13</v>
          </cell>
          <cell r="E25">
            <v>45888551.420000002</v>
          </cell>
        </row>
        <row r="26">
          <cell r="A26" t="str">
            <v>FNBA</v>
          </cell>
          <cell r="B26">
            <v>0</v>
          </cell>
          <cell r="C26">
            <v>118405.84</v>
          </cell>
          <cell r="D26">
            <v>0</v>
          </cell>
          <cell r="E26">
            <v>0</v>
          </cell>
        </row>
        <row r="27">
          <cell r="A27" t="str">
            <v>Foreign Exchange Contracts Payable</v>
          </cell>
          <cell r="B27">
            <v>0</v>
          </cell>
          <cell r="C27">
            <v>0</v>
          </cell>
          <cell r="D27">
            <v>0</v>
          </cell>
          <cell r="E27">
            <v>-0.01</v>
          </cell>
        </row>
        <row r="28">
          <cell r="A28" t="str">
            <v>Foreign Exchange Contracts Receivable</v>
          </cell>
          <cell r="B28">
            <v>0</v>
          </cell>
          <cell r="C28">
            <v>-0.01</v>
          </cell>
          <cell r="D28">
            <v>0</v>
          </cell>
          <cell r="E28">
            <v>0</v>
          </cell>
        </row>
        <row r="29">
          <cell r="A29" t="str">
            <v>Futures UGL Recon Adj</v>
          </cell>
          <cell r="B29">
            <v>0</v>
          </cell>
          <cell r="C29">
            <v>0</v>
          </cell>
          <cell r="D29">
            <v>0</v>
          </cell>
          <cell r="E29">
            <v>0</v>
          </cell>
        </row>
        <row r="30">
          <cell r="A30" t="str">
            <v>Income distributable to the State of Alaska</v>
          </cell>
          <cell r="B30">
            <v>0</v>
          </cell>
          <cell r="C30">
            <v>0</v>
          </cell>
          <cell r="D30">
            <v>0</v>
          </cell>
          <cell r="E30">
            <v>0</v>
          </cell>
        </row>
        <row r="31">
          <cell r="A31" t="str">
            <v>Infrastructure bs</v>
          </cell>
          <cell r="B31">
            <v>0</v>
          </cell>
          <cell r="C31">
            <v>1302290283.1199999</v>
          </cell>
          <cell r="D31">
            <v>0</v>
          </cell>
          <cell r="E31">
            <v>11750822.6</v>
          </cell>
        </row>
        <row r="32">
          <cell r="A32" t="str">
            <v>Infrastructure is</v>
          </cell>
          <cell r="B32">
            <v>67572857.159999996</v>
          </cell>
          <cell r="C32">
            <v>94955660.859999999</v>
          </cell>
          <cell r="D32">
            <v>596831.68999999994</v>
          </cell>
          <cell r="E32">
            <v>850669.92</v>
          </cell>
        </row>
        <row r="33">
          <cell r="A33" t="str">
            <v>Interest is</v>
          </cell>
          <cell r="B33">
            <v>23459510.34</v>
          </cell>
          <cell r="C33">
            <v>200624030.94</v>
          </cell>
          <cell r="D33">
            <v>207204.19</v>
          </cell>
          <cell r="E33">
            <v>1844239.48</v>
          </cell>
        </row>
        <row r="34">
          <cell r="A34" t="str">
            <v>Interest Receivable</v>
          </cell>
          <cell r="B34">
            <v>0</v>
          </cell>
          <cell r="C34">
            <v>67141905.189999998</v>
          </cell>
          <cell r="D34">
            <v>0</v>
          </cell>
          <cell r="E34">
            <v>616926.41</v>
          </cell>
        </row>
        <row r="35">
          <cell r="A35" t="str">
            <v>Legislative appropriations</v>
          </cell>
          <cell r="B35">
            <v>0</v>
          </cell>
          <cell r="C35">
            <v>-7141700</v>
          </cell>
          <cell r="D35">
            <v>0</v>
          </cell>
          <cell r="E35">
            <v>0</v>
          </cell>
        </row>
        <row r="36">
          <cell r="A36" t="str">
            <v>Marketable debt securities</v>
          </cell>
          <cell r="B36">
            <v>-17237163.600000001</v>
          </cell>
          <cell r="C36">
            <v>115604969.45999999</v>
          </cell>
          <cell r="D36">
            <v>-152245.82999999999</v>
          </cell>
          <cell r="E36">
            <v>1069864.8899999999</v>
          </cell>
        </row>
        <row r="37">
          <cell r="A37" t="str">
            <v>Marketable debt securities bs</v>
          </cell>
          <cell r="B37">
            <v>0</v>
          </cell>
          <cell r="C37">
            <v>9581542711.7900009</v>
          </cell>
          <cell r="D37">
            <v>0</v>
          </cell>
          <cell r="E37">
            <v>87856915.230000004</v>
          </cell>
        </row>
        <row r="38">
          <cell r="A38" t="str">
            <v>MDS Cost</v>
          </cell>
          <cell r="B38">
            <v>0</v>
          </cell>
          <cell r="C38">
            <v>9511079089.2099991</v>
          </cell>
          <cell r="D38">
            <v>0</v>
          </cell>
          <cell r="E38">
            <v>87391560.799999997</v>
          </cell>
        </row>
        <row r="39">
          <cell r="A39" t="str">
            <v>Mezzanine Debt bs</v>
          </cell>
          <cell r="B39">
            <v>0</v>
          </cell>
          <cell r="C39">
            <v>223286594.91</v>
          </cell>
          <cell r="D39">
            <v>0</v>
          </cell>
          <cell r="E39">
            <v>2064162.28</v>
          </cell>
        </row>
        <row r="40">
          <cell r="A40" t="str">
            <v>Mezzanine Debt is</v>
          </cell>
          <cell r="B40">
            <v>-624250.26</v>
          </cell>
          <cell r="C40">
            <v>7334508.54</v>
          </cell>
          <cell r="D40">
            <v>-5513.64</v>
          </cell>
          <cell r="E40">
            <v>67759.490000000005</v>
          </cell>
        </row>
        <row r="41">
          <cell r="A41" t="str">
            <v>Net change in fund balances</v>
          </cell>
          <cell r="B41">
            <v>346823886</v>
          </cell>
          <cell r="C41">
            <v>5545989105.1999998</v>
          </cell>
          <cell r="D41">
            <v>2552025.13</v>
          </cell>
          <cell r="E41">
            <v>27395651.420000002</v>
          </cell>
        </row>
        <row r="42">
          <cell r="A42" t="str">
            <v>Operating Accrued Payables</v>
          </cell>
          <cell r="B42">
            <v>0</v>
          </cell>
          <cell r="C42">
            <v>29740157.18</v>
          </cell>
          <cell r="D42">
            <v>0</v>
          </cell>
          <cell r="E42">
            <v>273264.36</v>
          </cell>
        </row>
        <row r="43">
          <cell r="A43" t="str">
            <v>Operating expenditures</v>
          </cell>
          <cell r="B43">
            <v>-7495375.2300000004</v>
          </cell>
          <cell r="C43">
            <v>-75538260.879999995</v>
          </cell>
          <cell r="D43">
            <v>-66202.3</v>
          </cell>
          <cell r="E43">
            <v>-694790.85</v>
          </cell>
        </row>
        <row r="44">
          <cell r="A44" t="str">
            <v>Pending Purch. Alt. Investmnt</v>
          </cell>
          <cell r="B44">
            <v>0</v>
          </cell>
          <cell r="C44">
            <v>2073898.89</v>
          </cell>
          <cell r="D44">
            <v>0</v>
          </cell>
          <cell r="E44">
            <v>19055.8</v>
          </cell>
        </row>
        <row r="45">
          <cell r="A45" t="str">
            <v>Pending Purchase Equities</v>
          </cell>
          <cell r="B45">
            <v>0</v>
          </cell>
          <cell r="C45">
            <v>92574470.519999996</v>
          </cell>
          <cell r="D45">
            <v>0</v>
          </cell>
          <cell r="E45">
            <v>850610.89</v>
          </cell>
        </row>
        <row r="46">
          <cell r="A46" t="str">
            <v>Pending Purchase Fixed Income</v>
          </cell>
          <cell r="B46">
            <v>0</v>
          </cell>
          <cell r="C46">
            <v>585173716.72000003</v>
          </cell>
          <cell r="D46">
            <v>0</v>
          </cell>
          <cell r="E46">
            <v>5376807.8300000001</v>
          </cell>
        </row>
        <row r="47">
          <cell r="A47" t="str">
            <v>Pending Purchase Real Estate</v>
          </cell>
          <cell r="B47">
            <v>0</v>
          </cell>
          <cell r="C47">
            <v>431447.87</v>
          </cell>
          <cell r="D47">
            <v>0</v>
          </cell>
          <cell r="E47">
            <v>3964.32</v>
          </cell>
        </row>
        <row r="48">
          <cell r="A48" t="str">
            <v>Pending Sale of Alt. Investmnt</v>
          </cell>
          <cell r="B48">
            <v>0</v>
          </cell>
          <cell r="C48">
            <v>1680377.93</v>
          </cell>
          <cell r="D48">
            <v>0</v>
          </cell>
          <cell r="E48">
            <v>15439.98</v>
          </cell>
        </row>
        <row r="49">
          <cell r="A49" t="str">
            <v>Pending Sales Equities</v>
          </cell>
          <cell r="B49">
            <v>0</v>
          </cell>
          <cell r="C49">
            <v>65441857.390000001</v>
          </cell>
          <cell r="D49">
            <v>0</v>
          </cell>
          <cell r="E49">
            <v>601305.68999999994</v>
          </cell>
        </row>
        <row r="50">
          <cell r="A50" t="str">
            <v>Pending Sales Fixed Income</v>
          </cell>
          <cell r="B50">
            <v>0</v>
          </cell>
          <cell r="C50">
            <v>51248041.420000002</v>
          </cell>
          <cell r="D50">
            <v>0</v>
          </cell>
          <cell r="E50">
            <v>470887.3</v>
          </cell>
        </row>
        <row r="51">
          <cell r="A51" t="str">
            <v>Pending Sales Real Estate</v>
          </cell>
          <cell r="B51">
            <v>0</v>
          </cell>
          <cell r="C51">
            <v>175968.7</v>
          </cell>
          <cell r="D51">
            <v>0</v>
          </cell>
          <cell r="E51">
            <v>1616.88</v>
          </cell>
        </row>
        <row r="52">
          <cell r="A52" t="str">
            <v>Period</v>
          </cell>
          <cell r="B52">
            <v>0</v>
          </cell>
          <cell r="C52">
            <v>9</v>
          </cell>
          <cell r="D52">
            <v>0</v>
          </cell>
          <cell r="E52">
            <v>9</v>
          </cell>
        </row>
        <row r="53">
          <cell r="A53" t="str">
            <v>Preferred and common stock</v>
          </cell>
          <cell r="B53">
            <v>4978750.74</v>
          </cell>
          <cell r="C53">
            <v>3225631247.1100001</v>
          </cell>
          <cell r="D53">
            <v>43974.41</v>
          </cell>
          <cell r="E53">
            <v>29758046.870000001</v>
          </cell>
        </row>
        <row r="54">
          <cell r="A54" t="str">
            <v>Preferred and common stock bs</v>
          </cell>
          <cell r="B54">
            <v>0</v>
          </cell>
          <cell r="C54">
            <v>22015327667.84</v>
          </cell>
          <cell r="D54">
            <v>0</v>
          </cell>
          <cell r="E54">
            <v>191233992.06</v>
          </cell>
        </row>
        <row r="55">
          <cell r="A55" t="str">
            <v>Prepaid and Other Receivables</v>
          </cell>
          <cell r="B55">
            <v>0</v>
          </cell>
          <cell r="C55">
            <v>0</v>
          </cell>
          <cell r="D55">
            <v>0</v>
          </cell>
          <cell r="E55">
            <v>0</v>
          </cell>
        </row>
        <row r="56">
          <cell r="A56" t="str">
            <v>Private Equity bs</v>
          </cell>
          <cell r="B56">
            <v>0</v>
          </cell>
          <cell r="C56">
            <v>2858666105.7199998</v>
          </cell>
          <cell r="D56">
            <v>0</v>
          </cell>
          <cell r="E56">
            <v>25348383.890000001</v>
          </cell>
        </row>
        <row r="57">
          <cell r="A57" t="str">
            <v>Private Equity is</v>
          </cell>
          <cell r="B57">
            <v>67037864.219999999</v>
          </cell>
          <cell r="C57">
            <v>327748055.26999998</v>
          </cell>
          <cell r="D57">
            <v>592106.41</v>
          </cell>
          <cell r="E57">
            <v>3002118.72</v>
          </cell>
        </row>
        <row r="58">
          <cell r="A58" t="str">
            <v>RE Cost</v>
          </cell>
          <cell r="B58">
            <v>0</v>
          </cell>
          <cell r="C58">
            <v>3790926424.5599999</v>
          </cell>
          <cell r="D58">
            <v>0</v>
          </cell>
          <cell r="E58">
            <v>34832533.109999999</v>
          </cell>
        </row>
        <row r="59">
          <cell r="A59" t="str">
            <v>Real estate</v>
          </cell>
          <cell r="B59">
            <v>13400975.939999999</v>
          </cell>
          <cell r="C59">
            <v>152192241.59999999</v>
          </cell>
          <cell r="D59">
            <v>118363.02</v>
          </cell>
          <cell r="E59">
            <v>1399986.89</v>
          </cell>
        </row>
        <row r="60">
          <cell r="A60" t="str">
            <v>Real estate and other income</v>
          </cell>
          <cell r="B60">
            <v>17413830.16</v>
          </cell>
          <cell r="C60">
            <v>182552323.87</v>
          </cell>
          <cell r="D60">
            <v>153806.22</v>
          </cell>
          <cell r="E60">
            <v>1680663.63</v>
          </cell>
        </row>
        <row r="61">
          <cell r="A61" t="str">
            <v>Real estate bs</v>
          </cell>
          <cell r="B61">
            <v>0</v>
          </cell>
          <cell r="C61">
            <v>5254025907.21</v>
          </cell>
          <cell r="D61">
            <v>0</v>
          </cell>
          <cell r="E61">
            <v>44495105.149999999</v>
          </cell>
        </row>
        <row r="62">
          <cell r="A62" t="str">
            <v>Real Return bs</v>
          </cell>
          <cell r="B62">
            <v>0</v>
          </cell>
          <cell r="C62">
            <v>2668434524.6599998</v>
          </cell>
          <cell r="D62">
            <v>0</v>
          </cell>
          <cell r="E62">
            <v>23453591.77</v>
          </cell>
        </row>
        <row r="63">
          <cell r="A63" t="str">
            <v>Real Return is</v>
          </cell>
          <cell r="B63">
            <v>9931314.1999999993</v>
          </cell>
          <cell r="C63">
            <v>178209873.69999999</v>
          </cell>
          <cell r="D63">
            <v>87717.52</v>
          </cell>
          <cell r="E63">
            <v>1638682.74</v>
          </cell>
        </row>
        <row r="64">
          <cell r="A64" t="str">
            <v>Realized earnings</v>
          </cell>
          <cell r="B64">
            <v>0</v>
          </cell>
          <cell r="C64">
            <v>4403146012.5200005</v>
          </cell>
          <cell r="D64">
            <v>0</v>
          </cell>
          <cell r="E64">
            <v>53261434.700000003</v>
          </cell>
        </row>
        <row r="65">
          <cell r="A65" t="str">
            <v>Realized earnings ACIF Deficit</v>
          </cell>
          <cell r="B65">
            <v>0</v>
          </cell>
          <cell r="C65">
            <v>0</v>
          </cell>
          <cell r="D65">
            <v>0</v>
          </cell>
          <cell r="E65">
            <v>0</v>
          </cell>
        </row>
        <row r="66">
          <cell r="A66" t="str">
            <v>Receivables and other assets</v>
          </cell>
          <cell r="B66">
            <v>0</v>
          </cell>
          <cell r="C66">
            <v>275218785.88999999</v>
          </cell>
          <cell r="D66">
            <v>0</v>
          </cell>
          <cell r="E66">
            <v>2199338.08</v>
          </cell>
        </row>
        <row r="67">
          <cell r="A67" t="str">
            <v>Reserve for AK Capital IncomeFund</v>
          </cell>
          <cell r="B67">
            <v>0</v>
          </cell>
          <cell r="C67">
            <v>23500000</v>
          </cell>
          <cell r="D67">
            <v>0</v>
          </cell>
          <cell r="E67">
            <v>0</v>
          </cell>
        </row>
        <row r="68">
          <cell r="A68" t="str">
            <v>Reserve for Dividend</v>
          </cell>
          <cell r="B68">
            <v>0</v>
          </cell>
          <cell r="C68">
            <v>1136800000</v>
          </cell>
          <cell r="D68">
            <v>0</v>
          </cell>
          <cell r="E68">
            <v>0</v>
          </cell>
        </row>
        <row r="69">
          <cell r="A69" t="str">
            <v>Reserve for Inflation Proofing</v>
          </cell>
          <cell r="B69">
            <v>0</v>
          </cell>
          <cell r="C69">
            <v>543500000</v>
          </cell>
          <cell r="D69">
            <v>0</v>
          </cell>
          <cell r="E69">
            <v>0</v>
          </cell>
        </row>
        <row r="70">
          <cell r="A70" t="str">
            <v>Short-term Cost</v>
          </cell>
          <cell r="B70">
            <v>0</v>
          </cell>
          <cell r="C70">
            <v>2250596554.5900002</v>
          </cell>
          <cell r="D70">
            <v>0</v>
          </cell>
          <cell r="E70">
            <v>20679372.27</v>
          </cell>
        </row>
        <row r="71">
          <cell r="A71" t="str">
            <v>SNI Am Hess activity</v>
          </cell>
          <cell r="B71">
            <v>0</v>
          </cell>
          <cell r="C71">
            <v>0</v>
          </cell>
          <cell r="D71">
            <v>0</v>
          </cell>
          <cell r="E71">
            <v>0</v>
          </cell>
        </row>
        <row r="72">
          <cell r="A72" t="str">
            <v>SNI unrealized gain / loss activity</v>
          </cell>
          <cell r="B72">
            <v>524353141.25999999</v>
          </cell>
          <cell r="C72">
            <v>-2356963466.77</v>
          </cell>
          <cell r="D72">
            <v>4631305.8899999997</v>
          </cell>
          <cell r="E72">
            <v>-21934209.870000001</v>
          </cell>
        </row>
        <row r="73">
          <cell r="A73" t="str">
            <v>State Dedicated Revenues Receivable</v>
          </cell>
          <cell r="B73">
            <v>0</v>
          </cell>
          <cell r="C73">
            <v>35858391.960000001</v>
          </cell>
          <cell r="D73">
            <v>0</v>
          </cell>
          <cell r="E73">
            <v>0</v>
          </cell>
        </row>
        <row r="74">
          <cell r="A74" t="str">
            <v>Statutory net income (loss)</v>
          </cell>
          <cell r="B74">
            <v>813291602.63</v>
          </cell>
          <cell r="C74">
            <v>2620379390.6100001</v>
          </cell>
          <cell r="D74">
            <v>7183331.0199999996</v>
          </cell>
          <cell r="E74">
            <v>23954341.550000001</v>
          </cell>
        </row>
        <row r="75">
          <cell r="A75" t="str">
            <v>Total Assets</v>
          </cell>
          <cell r="B75">
            <v>0</v>
          </cell>
          <cell r="C75">
            <v>51109317183.239998</v>
          </cell>
          <cell r="D75">
            <v>0</v>
          </cell>
          <cell r="E75">
            <v>450913203.79000002</v>
          </cell>
        </row>
        <row r="76">
          <cell r="A76" t="str">
            <v>Total Cost</v>
          </cell>
          <cell r="B76">
            <v>0</v>
          </cell>
          <cell r="C76">
            <v>33291369552.529999</v>
          </cell>
          <cell r="D76">
            <v>0</v>
          </cell>
          <cell r="E76">
            <v>305894285.89999998</v>
          </cell>
        </row>
        <row r="77">
          <cell r="A77" t="str">
            <v>Total expenditures</v>
          </cell>
          <cell r="B77">
            <v>-7495375.2300000004</v>
          </cell>
          <cell r="C77">
            <v>-82679960.879999995</v>
          </cell>
          <cell r="D77">
            <v>-66202.3</v>
          </cell>
          <cell r="E77">
            <v>-694790.85</v>
          </cell>
        </row>
        <row r="78">
          <cell r="A78" t="str">
            <v>Total Fund Balances</v>
          </cell>
          <cell r="B78">
            <v>0</v>
          </cell>
          <cell r="C78">
            <v>50399323492.059998</v>
          </cell>
          <cell r="D78">
            <v>0</v>
          </cell>
          <cell r="E78">
            <v>444389500.60000002</v>
          </cell>
        </row>
        <row r="79">
          <cell r="A79" t="str">
            <v>Total investments</v>
          </cell>
          <cell r="B79">
            <v>0</v>
          </cell>
          <cell r="C79">
            <v>39002172454.18</v>
          </cell>
          <cell r="D79">
            <v>0</v>
          </cell>
          <cell r="E79">
            <v>340178987.04000002</v>
          </cell>
        </row>
        <row r="80">
          <cell r="A80" t="str">
            <v>Total Liabilities</v>
          </cell>
          <cell r="B80">
            <v>0</v>
          </cell>
          <cell r="C80">
            <v>709993691.17999995</v>
          </cell>
          <cell r="D80">
            <v>0</v>
          </cell>
          <cell r="E80">
            <v>6523703.1900000004</v>
          </cell>
        </row>
        <row r="81">
          <cell r="A81" t="str">
            <v>Total Liabilities and Fund Balances</v>
          </cell>
          <cell r="B81">
            <v>0</v>
          </cell>
          <cell r="C81">
            <v>51109317183.239998</v>
          </cell>
          <cell r="D81">
            <v>0</v>
          </cell>
          <cell r="E81">
            <v>450913203.79000002</v>
          </cell>
        </row>
        <row r="82">
          <cell r="A82" t="str">
            <v>Total reserved</v>
          </cell>
          <cell r="B82">
            <v>0</v>
          </cell>
          <cell r="C82">
            <v>43289592515.400002</v>
          </cell>
          <cell r="D82">
            <v>0</v>
          </cell>
          <cell r="E82">
            <v>384836834.49000001</v>
          </cell>
        </row>
        <row r="83">
          <cell r="A83" t="str">
            <v>Total revenues</v>
          </cell>
          <cell r="B83">
            <v>296433836.60000002</v>
          </cell>
          <cell r="C83">
            <v>5060022818.2600002</v>
          </cell>
          <cell r="D83">
            <v>2618227.4300000002</v>
          </cell>
          <cell r="E83">
            <v>46583342.270000003</v>
          </cell>
        </row>
        <row r="84">
          <cell r="A84" t="str">
            <v>Transfers in</v>
          </cell>
          <cell r="B84">
            <v>57885424.630000003</v>
          </cell>
          <cell r="C84">
            <v>568646247.82000005</v>
          </cell>
          <cell r="D84">
            <v>0</v>
          </cell>
          <cell r="E84">
            <v>3500000</v>
          </cell>
        </row>
        <row r="85">
          <cell r="A85" t="str">
            <v>Transfers out</v>
          </cell>
          <cell r="B85">
            <v>0</v>
          </cell>
          <cell r="C85">
            <v>0</v>
          </cell>
          <cell r="D85">
            <v>0</v>
          </cell>
          <cell r="E85">
            <v>-21992900</v>
          </cell>
        </row>
        <row r="86">
          <cell r="A86" t="str">
            <v>Unrealized appreciation earnings reserve allocation</v>
          </cell>
          <cell r="B86">
            <v>0</v>
          </cell>
          <cell r="C86">
            <v>1002784964.15</v>
          </cell>
          <cell r="D86">
            <v>0</v>
          </cell>
          <cell r="E86">
            <v>6291231.4100000001</v>
          </cell>
        </row>
        <row r="87">
          <cell r="A87" t="str">
            <v>Unrealized appreciation principal allocation</v>
          </cell>
          <cell r="B87">
            <v>0</v>
          </cell>
          <cell r="C87">
            <v>6105737702.4899998</v>
          </cell>
          <cell r="D87">
            <v>0</v>
          </cell>
          <cell r="E87">
            <v>40654730.329999998</v>
          </cell>
        </row>
      </sheetData>
      <sheetData sheetId="4">
        <row r="10">
          <cell r="I10">
            <v>10042</v>
          </cell>
          <cell r="J10">
            <v>200003064.59</v>
          </cell>
          <cell r="M10">
            <v>10042</v>
          </cell>
          <cell r="N10">
            <v>1751044.62</v>
          </cell>
        </row>
        <row r="11">
          <cell r="I11">
            <v>10044</v>
          </cell>
          <cell r="J11">
            <v>29999520.829999998</v>
          </cell>
          <cell r="M11">
            <v>10044</v>
          </cell>
          <cell r="N11">
            <v>262648.46999999997</v>
          </cell>
        </row>
        <row r="12">
          <cell r="I12">
            <v>11000</v>
          </cell>
          <cell r="J12">
            <v>663.19</v>
          </cell>
          <cell r="M12">
            <v>11000</v>
          </cell>
          <cell r="N12">
            <v>5.81</v>
          </cell>
        </row>
        <row r="13">
          <cell r="I13">
            <v>11110</v>
          </cell>
          <cell r="J13">
            <v>9299632.8699999992</v>
          </cell>
          <cell r="M13">
            <v>11110</v>
          </cell>
          <cell r="N13">
            <v>81419.11</v>
          </cell>
        </row>
        <row r="14">
          <cell r="I14">
            <v>11120</v>
          </cell>
          <cell r="J14">
            <v>8633563.5999999996</v>
          </cell>
          <cell r="M14">
            <v>11120</v>
          </cell>
          <cell r="N14">
            <v>75587.62</v>
          </cell>
        </row>
        <row r="15">
          <cell r="I15">
            <v>11230</v>
          </cell>
          <cell r="J15">
            <v>3190515.17</v>
          </cell>
          <cell r="M15">
            <v>11230</v>
          </cell>
          <cell r="N15">
            <v>27933.24</v>
          </cell>
        </row>
        <row r="16">
          <cell r="I16">
            <v>11260</v>
          </cell>
          <cell r="J16">
            <v>-510181779.27999997</v>
          </cell>
          <cell r="M16">
            <v>11260</v>
          </cell>
          <cell r="N16">
            <v>-4466686.8600000003</v>
          </cell>
        </row>
        <row r="17">
          <cell r="I17">
            <v>11610</v>
          </cell>
          <cell r="J17">
            <v>-28137001.359999999</v>
          </cell>
          <cell r="M17">
            <v>11610</v>
          </cell>
          <cell r="N17">
            <v>-246341.95</v>
          </cell>
        </row>
        <row r="18">
          <cell r="I18">
            <v>11620</v>
          </cell>
          <cell r="J18">
            <v>37286534.450000003</v>
          </cell>
          <cell r="M18">
            <v>11620</v>
          </cell>
          <cell r="N18">
            <v>326446.93</v>
          </cell>
        </row>
        <row r="19">
          <cell r="I19">
            <v>11680</v>
          </cell>
          <cell r="J19">
            <v>-928826.87</v>
          </cell>
          <cell r="M19">
            <v>11680</v>
          </cell>
          <cell r="N19">
            <v>-8131.96</v>
          </cell>
        </row>
        <row r="20">
          <cell r="I20">
            <v>11700</v>
          </cell>
          <cell r="J20">
            <v>-882218.21</v>
          </cell>
          <cell r="M20">
            <v>11700</v>
          </cell>
          <cell r="N20">
            <v>-7723.9</v>
          </cell>
        </row>
        <row r="21">
          <cell r="I21">
            <v>12100</v>
          </cell>
          <cell r="J21">
            <v>1763650571.8099999</v>
          </cell>
          <cell r="M21">
            <v>12100</v>
          </cell>
          <cell r="N21">
            <v>15440917.630000001</v>
          </cell>
        </row>
        <row r="22">
          <cell r="I22">
            <v>12130</v>
          </cell>
          <cell r="J22">
            <v>-26437500</v>
          </cell>
          <cell r="M22">
            <v>12130</v>
          </cell>
          <cell r="N22">
            <v>-231462.66</v>
          </cell>
        </row>
        <row r="23">
          <cell r="I23">
            <v>12131</v>
          </cell>
          <cell r="J23">
            <v>589927.79</v>
          </cell>
          <cell r="M23">
            <v>12131</v>
          </cell>
          <cell r="N23">
            <v>5164.87</v>
          </cell>
        </row>
        <row r="24">
          <cell r="I24">
            <v>12200</v>
          </cell>
          <cell r="J24">
            <v>-482595993.11000001</v>
          </cell>
          <cell r="M24">
            <v>12200</v>
          </cell>
          <cell r="N24">
            <v>-4225170.8499999996</v>
          </cell>
        </row>
        <row r="25">
          <cell r="I25">
            <v>12300</v>
          </cell>
          <cell r="J25">
            <v>8654332</v>
          </cell>
          <cell r="M25">
            <v>12300</v>
          </cell>
          <cell r="N25">
            <v>75769.45</v>
          </cell>
        </row>
        <row r="26">
          <cell r="I26">
            <v>12301</v>
          </cell>
          <cell r="J26">
            <v>-2740284.85</v>
          </cell>
          <cell r="M26">
            <v>12301</v>
          </cell>
          <cell r="N26">
            <v>-23991.439999999999</v>
          </cell>
        </row>
        <row r="27">
          <cell r="I27">
            <v>12310</v>
          </cell>
          <cell r="J27">
            <v>3645165.53</v>
          </cell>
          <cell r="M27">
            <v>12310</v>
          </cell>
          <cell r="N27">
            <v>31913.75</v>
          </cell>
        </row>
        <row r="28">
          <cell r="I28">
            <v>12510</v>
          </cell>
          <cell r="J28">
            <v>-503309840.07999998</v>
          </cell>
          <cell r="M28">
            <v>12510</v>
          </cell>
          <cell r="N28">
            <v>-4406522.42</v>
          </cell>
        </row>
        <row r="29">
          <cell r="I29">
            <v>12600</v>
          </cell>
          <cell r="J29">
            <v>14464720.43</v>
          </cell>
          <cell r="M29">
            <v>12600</v>
          </cell>
          <cell r="N29">
            <v>126639.91</v>
          </cell>
        </row>
        <row r="30">
          <cell r="I30">
            <v>12651</v>
          </cell>
          <cell r="J30">
            <v>720826.45</v>
          </cell>
          <cell r="M30">
            <v>12651</v>
          </cell>
          <cell r="N30">
            <v>6310.9</v>
          </cell>
        </row>
        <row r="31">
          <cell r="I31">
            <v>12680</v>
          </cell>
          <cell r="J31">
            <v>4894413.0199999996</v>
          </cell>
          <cell r="M31">
            <v>12680</v>
          </cell>
          <cell r="N31">
            <v>42851.02</v>
          </cell>
        </row>
        <row r="32">
          <cell r="I32">
            <v>12681</v>
          </cell>
          <cell r="J32">
            <v>48719677.590000004</v>
          </cell>
          <cell r="M32">
            <v>12681</v>
          </cell>
          <cell r="N32">
            <v>426545.11</v>
          </cell>
        </row>
        <row r="33">
          <cell r="I33">
            <v>12690</v>
          </cell>
          <cell r="J33">
            <v>-3450432</v>
          </cell>
          <cell r="M33">
            <v>12690</v>
          </cell>
          <cell r="N33">
            <v>-30208.84</v>
          </cell>
        </row>
        <row r="34">
          <cell r="I34">
            <v>12700</v>
          </cell>
          <cell r="J34">
            <v>9917151.5899999999</v>
          </cell>
          <cell r="M34">
            <v>12700</v>
          </cell>
          <cell r="N34">
            <v>86825.54</v>
          </cell>
        </row>
        <row r="35">
          <cell r="I35">
            <v>13042</v>
          </cell>
          <cell r="J35">
            <v>-10686.18</v>
          </cell>
          <cell r="M35">
            <v>13042</v>
          </cell>
          <cell r="N35">
            <v>-93.56</v>
          </cell>
        </row>
        <row r="36">
          <cell r="I36">
            <v>13100</v>
          </cell>
          <cell r="J36">
            <v>-19455606.539999999</v>
          </cell>
          <cell r="M36">
            <v>13100</v>
          </cell>
          <cell r="N36">
            <v>-170335.57</v>
          </cell>
        </row>
        <row r="37">
          <cell r="I37">
            <v>13130</v>
          </cell>
          <cell r="J37">
            <v>10385132.01</v>
          </cell>
          <cell r="M37">
            <v>13130</v>
          </cell>
          <cell r="N37">
            <v>90922.75</v>
          </cell>
        </row>
        <row r="38">
          <cell r="I38">
            <v>13200</v>
          </cell>
          <cell r="J38">
            <v>-545440988.65999997</v>
          </cell>
          <cell r="M38">
            <v>13200</v>
          </cell>
          <cell r="N38">
            <v>-4775384.37</v>
          </cell>
        </row>
        <row r="39">
          <cell r="I39">
            <v>13310</v>
          </cell>
          <cell r="J39">
            <v>12882597.33</v>
          </cell>
          <cell r="M39">
            <v>13310</v>
          </cell>
          <cell r="N39">
            <v>112788.29</v>
          </cell>
        </row>
        <row r="40">
          <cell r="I40">
            <v>13510</v>
          </cell>
          <cell r="J40">
            <v>-76562453.680000007</v>
          </cell>
          <cell r="M40">
            <v>13510</v>
          </cell>
          <cell r="N40">
            <v>-670311.09</v>
          </cell>
        </row>
        <row r="41">
          <cell r="I41">
            <v>13600</v>
          </cell>
          <cell r="J41">
            <v>34045677.57</v>
          </cell>
          <cell r="M41">
            <v>13600</v>
          </cell>
          <cell r="N41">
            <v>298072.94</v>
          </cell>
        </row>
        <row r="42">
          <cell r="I42">
            <v>13650</v>
          </cell>
          <cell r="J42">
            <v>23741864.02</v>
          </cell>
          <cell r="M42">
            <v>13650</v>
          </cell>
          <cell r="N42">
            <v>207862.13</v>
          </cell>
        </row>
        <row r="43">
          <cell r="I43">
            <v>13680</v>
          </cell>
          <cell r="J43">
            <v>18624269.870000001</v>
          </cell>
          <cell r="M43">
            <v>13680</v>
          </cell>
          <cell r="N43">
            <v>163057.14000000001</v>
          </cell>
        </row>
        <row r="44">
          <cell r="I44">
            <v>13690</v>
          </cell>
          <cell r="J44">
            <v>-674773.9</v>
          </cell>
          <cell r="M44">
            <v>13690</v>
          </cell>
          <cell r="N44">
            <v>-5907.71</v>
          </cell>
        </row>
        <row r="45">
          <cell r="I45">
            <v>13700</v>
          </cell>
          <cell r="J45">
            <v>9804331.7599999998</v>
          </cell>
          <cell r="M45">
            <v>13700</v>
          </cell>
          <cell r="N45">
            <v>85837.8</v>
          </cell>
        </row>
        <row r="46">
          <cell r="I46">
            <v>13800</v>
          </cell>
          <cell r="J46">
            <v>20251.93</v>
          </cell>
          <cell r="M46">
            <v>13800</v>
          </cell>
          <cell r="N46">
            <v>177.31</v>
          </cell>
        </row>
        <row r="47">
          <cell r="I47">
            <v>13810</v>
          </cell>
          <cell r="J47">
            <v>-1792116.15</v>
          </cell>
          <cell r="M47">
            <v>13810</v>
          </cell>
          <cell r="N47">
            <v>-15690.14</v>
          </cell>
        </row>
        <row r="48">
          <cell r="I48">
            <v>13820</v>
          </cell>
          <cell r="J48">
            <v>5092350.37</v>
          </cell>
          <cell r="M48">
            <v>13820</v>
          </cell>
          <cell r="N48">
            <v>44583.98</v>
          </cell>
        </row>
        <row r="49">
          <cell r="I49">
            <v>13830</v>
          </cell>
          <cell r="J49">
            <v>355703.1</v>
          </cell>
          <cell r="M49">
            <v>13830</v>
          </cell>
          <cell r="N49">
            <v>3114.21</v>
          </cell>
        </row>
        <row r="50">
          <cell r="I50">
            <v>21200</v>
          </cell>
          <cell r="J50">
            <v>-19787106.719999999</v>
          </cell>
          <cell r="M50">
            <v>21200</v>
          </cell>
          <cell r="N50">
            <v>-173237.88</v>
          </cell>
        </row>
        <row r="51">
          <cell r="I51">
            <v>21220</v>
          </cell>
          <cell r="J51">
            <v>-47510698.130000003</v>
          </cell>
          <cell r="M51">
            <v>21220</v>
          </cell>
          <cell r="N51">
            <v>-415960.39</v>
          </cell>
        </row>
        <row r="52">
          <cell r="I52">
            <v>21240</v>
          </cell>
          <cell r="J52">
            <v>258518.24</v>
          </cell>
          <cell r="M52">
            <v>21240</v>
          </cell>
          <cell r="N52">
            <v>2263.35</v>
          </cell>
        </row>
        <row r="53">
          <cell r="I53">
            <v>21260</v>
          </cell>
          <cell r="J53">
            <v>510181779.27999997</v>
          </cell>
          <cell r="M53">
            <v>21260</v>
          </cell>
          <cell r="N53">
            <v>4466686.8600000003</v>
          </cell>
        </row>
        <row r="54">
          <cell r="I54">
            <v>21270</v>
          </cell>
          <cell r="J54">
            <v>-225066.4</v>
          </cell>
          <cell r="M54">
            <v>21270</v>
          </cell>
          <cell r="N54">
            <v>-1970.48</v>
          </cell>
        </row>
        <row r="55">
          <cell r="I55">
            <v>22100</v>
          </cell>
          <cell r="J55">
            <v>1242.52</v>
          </cell>
          <cell r="M55">
            <v>22100</v>
          </cell>
          <cell r="N55">
            <v>10.88</v>
          </cell>
        </row>
        <row r="56">
          <cell r="I56">
            <v>22200</v>
          </cell>
          <cell r="J56">
            <v>-6788322.1299999999</v>
          </cell>
          <cell r="M56">
            <v>22200</v>
          </cell>
          <cell r="N56">
            <v>-59432.36</v>
          </cell>
        </row>
        <row r="57">
          <cell r="I57">
            <v>40000</v>
          </cell>
          <cell r="J57">
            <v>-868278.18</v>
          </cell>
          <cell r="M57">
            <v>40000</v>
          </cell>
          <cell r="N57">
            <v>-7601.85</v>
          </cell>
        </row>
        <row r="58">
          <cell r="I58">
            <v>40100</v>
          </cell>
          <cell r="J58">
            <v>-22798436.350000001</v>
          </cell>
          <cell r="M58">
            <v>40100</v>
          </cell>
          <cell r="N58">
            <v>-199602.34</v>
          </cell>
        </row>
        <row r="59">
          <cell r="I59">
            <v>40130</v>
          </cell>
          <cell r="J59">
            <v>9382.01</v>
          </cell>
          <cell r="M59">
            <v>40130</v>
          </cell>
          <cell r="N59">
            <v>82.14</v>
          </cell>
        </row>
        <row r="60">
          <cell r="I60">
            <v>42200</v>
          </cell>
          <cell r="J60">
            <v>-69911034.519999996</v>
          </cell>
          <cell r="M60">
            <v>42200</v>
          </cell>
          <cell r="N60">
            <v>-612077.32999999996</v>
          </cell>
        </row>
        <row r="61">
          <cell r="I61">
            <v>42300</v>
          </cell>
          <cell r="J61">
            <v>-4139333.72</v>
          </cell>
          <cell r="M61">
            <v>42300</v>
          </cell>
          <cell r="N61">
            <v>-36240.230000000003</v>
          </cell>
        </row>
        <row r="62">
          <cell r="I62">
            <v>42400</v>
          </cell>
          <cell r="J62">
            <v>-2485867.67</v>
          </cell>
          <cell r="M62">
            <v>42400</v>
          </cell>
          <cell r="N62">
            <v>-21763.99</v>
          </cell>
        </row>
        <row r="63">
          <cell r="I63">
            <v>42401</v>
          </cell>
          <cell r="J63">
            <v>1526384.77</v>
          </cell>
          <cell r="M63">
            <v>42401</v>
          </cell>
          <cell r="N63">
            <v>13363.63</v>
          </cell>
        </row>
        <row r="64">
          <cell r="I64">
            <v>42450</v>
          </cell>
          <cell r="J64">
            <v>-11268.05</v>
          </cell>
          <cell r="M64">
            <v>42450</v>
          </cell>
          <cell r="N64">
            <v>-98.65</v>
          </cell>
        </row>
        <row r="65">
          <cell r="I65">
            <v>42451</v>
          </cell>
          <cell r="J65">
            <v>967065.24</v>
          </cell>
          <cell r="M65">
            <v>42451</v>
          </cell>
          <cell r="N65">
            <v>8466.74</v>
          </cell>
        </row>
        <row r="66">
          <cell r="I66">
            <v>42510</v>
          </cell>
          <cell r="J66">
            <v>-457586.03</v>
          </cell>
          <cell r="M66">
            <v>42510</v>
          </cell>
          <cell r="N66">
            <v>-4006.21</v>
          </cell>
        </row>
        <row r="67">
          <cell r="I67">
            <v>42680</v>
          </cell>
          <cell r="J67">
            <v>-9322013.5299999993</v>
          </cell>
          <cell r="M67">
            <v>42680</v>
          </cell>
          <cell r="N67">
            <v>-81615.06</v>
          </cell>
        </row>
        <row r="68">
          <cell r="I68">
            <v>42681</v>
          </cell>
          <cell r="J68">
            <v>3551701.93</v>
          </cell>
          <cell r="M68">
            <v>42681</v>
          </cell>
          <cell r="N68">
            <v>31095.47</v>
          </cell>
        </row>
        <row r="69">
          <cell r="I69">
            <v>42690</v>
          </cell>
          <cell r="J69">
            <v>-2486636</v>
          </cell>
          <cell r="M69">
            <v>42690</v>
          </cell>
          <cell r="N69">
            <v>-21770.720000000001</v>
          </cell>
        </row>
        <row r="70">
          <cell r="I70">
            <v>43000</v>
          </cell>
          <cell r="J70">
            <v>-33577.379999999997</v>
          </cell>
          <cell r="M70">
            <v>43000</v>
          </cell>
          <cell r="N70">
            <v>-293.97000000000003</v>
          </cell>
        </row>
        <row r="71">
          <cell r="I71">
            <v>43050</v>
          </cell>
          <cell r="J71">
            <v>-202565.32</v>
          </cell>
          <cell r="M71">
            <v>43050</v>
          </cell>
          <cell r="N71">
            <v>-1773.48</v>
          </cell>
        </row>
        <row r="72">
          <cell r="I72">
            <v>43100</v>
          </cell>
          <cell r="J72">
            <v>-867845.65</v>
          </cell>
          <cell r="M72">
            <v>43100</v>
          </cell>
          <cell r="N72">
            <v>-7598.07</v>
          </cell>
        </row>
        <row r="73">
          <cell r="I73">
            <v>46000</v>
          </cell>
          <cell r="J73">
            <v>-4895235.5999999996</v>
          </cell>
          <cell r="M73">
            <v>46000</v>
          </cell>
          <cell r="N73">
            <v>-42858.22</v>
          </cell>
        </row>
        <row r="74">
          <cell r="I74">
            <v>46001</v>
          </cell>
          <cell r="J74">
            <v>1279758.6200000001</v>
          </cell>
          <cell r="M74">
            <v>46001</v>
          </cell>
          <cell r="N74">
            <v>11204.4</v>
          </cell>
        </row>
        <row r="75">
          <cell r="I75">
            <v>47000</v>
          </cell>
          <cell r="J75">
            <v>10686.18</v>
          </cell>
          <cell r="M75">
            <v>47000</v>
          </cell>
          <cell r="N75">
            <v>93.56</v>
          </cell>
        </row>
        <row r="76">
          <cell r="I76">
            <v>47100</v>
          </cell>
          <cell r="J76">
            <v>19455606.539999999</v>
          </cell>
          <cell r="M76">
            <v>47100</v>
          </cell>
          <cell r="N76">
            <v>170335.57</v>
          </cell>
        </row>
        <row r="77">
          <cell r="I77">
            <v>47130</v>
          </cell>
          <cell r="J77">
            <v>-10385132.01</v>
          </cell>
          <cell r="M77">
            <v>47130</v>
          </cell>
          <cell r="N77">
            <v>-90922.75</v>
          </cell>
        </row>
        <row r="78">
          <cell r="I78">
            <v>47150</v>
          </cell>
          <cell r="J78">
            <v>545440988.65999997</v>
          </cell>
          <cell r="M78">
            <v>47150</v>
          </cell>
          <cell r="N78">
            <v>4775384.37</v>
          </cell>
        </row>
        <row r="79">
          <cell r="I79">
            <v>47200</v>
          </cell>
          <cell r="J79">
            <v>1792116.15</v>
          </cell>
          <cell r="M79">
            <v>47200</v>
          </cell>
          <cell r="N79">
            <v>15690.14</v>
          </cell>
        </row>
        <row r="80">
          <cell r="I80">
            <v>47285</v>
          </cell>
          <cell r="J80">
            <v>-5448053.4699999997</v>
          </cell>
          <cell r="M80">
            <v>47285</v>
          </cell>
          <cell r="N80">
            <v>-47698.19</v>
          </cell>
        </row>
        <row r="81">
          <cell r="I81">
            <v>47300</v>
          </cell>
          <cell r="J81">
            <v>-20251.93</v>
          </cell>
          <cell r="M81">
            <v>47300</v>
          </cell>
          <cell r="N81">
            <v>-177.31</v>
          </cell>
        </row>
        <row r="82">
          <cell r="I82">
            <v>47400</v>
          </cell>
          <cell r="J82">
            <v>-12882597.33</v>
          </cell>
          <cell r="M82">
            <v>47400</v>
          </cell>
          <cell r="N82">
            <v>-112788.29</v>
          </cell>
        </row>
        <row r="83">
          <cell r="I83">
            <v>47510</v>
          </cell>
          <cell r="J83">
            <v>76562453.680000007</v>
          </cell>
          <cell r="M83">
            <v>47510</v>
          </cell>
          <cell r="N83">
            <v>670311.09</v>
          </cell>
        </row>
        <row r="84">
          <cell r="I84">
            <v>47600</v>
          </cell>
          <cell r="J84">
            <v>-34045677.57</v>
          </cell>
          <cell r="M84">
            <v>47600</v>
          </cell>
          <cell r="N84">
            <v>-298072.94</v>
          </cell>
        </row>
        <row r="85">
          <cell r="I85">
            <v>47650</v>
          </cell>
          <cell r="J85">
            <v>-23741864.02</v>
          </cell>
          <cell r="M85">
            <v>47650</v>
          </cell>
          <cell r="N85">
            <v>-207862.13</v>
          </cell>
        </row>
        <row r="86">
          <cell r="I86">
            <v>47680</v>
          </cell>
          <cell r="J86">
            <v>-18624269.870000001</v>
          </cell>
          <cell r="M86">
            <v>47680</v>
          </cell>
          <cell r="N86">
            <v>-163057.14000000001</v>
          </cell>
        </row>
        <row r="87">
          <cell r="I87">
            <v>47690</v>
          </cell>
          <cell r="J87">
            <v>674773.9</v>
          </cell>
          <cell r="M87">
            <v>47690</v>
          </cell>
          <cell r="N87">
            <v>5907.71</v>
          </cell>
        </row>
        <row r="88">
          <cell r="I88">
            <v>47700</v>
          </cell>
          <cell r="J88">
            <v>-9804331.7599999998</v>
          </cell>
          <cell r="M88">
            <v>47700</v>
          </cell>
          <cell r="N88">
            <v>-85837.8</v>
          </cell>
        </row>
        <row r="89">
          <cell r="I89">
            <v>48800</v>
          </cell>
          <cell r="J89">
            <v>-1279853.75</v>
          </cell>
          <cell r="M89">
            <v>48800</v>
          </cell>
          <cell r="N89">
            <v>-11205.23</v>
          </cell>
        </row>
        <row r="90">
          <cell r="I90">
            <v>49100</v>
          </cell>
          <cell r="J90">
            <v>-2076883.29</v>
          </cell>
          <cell r="M90">
            <v>49100</v>
          </cell>
          <cell r="N90">
            <v>-18183.3</v>
          </cell>
        </row>
        <row r="91">
          <cell r="I91">
            <v>49130</v>
          </cell>
          <cell r="J91">
            <v>-557743.64</v>
          </cell>
          <cell r="M91">
            <v>49130</v>
          </cell>
          <cell r="N91">
            <v>-4883.1000000000004</v>
          </cell>
        </row>
        <row r="92">
          <cell r="I92">
            <v>49150</v>
          </cell>
          <cell r="J92">
            <v>-550463713.80999994</v>
          </cell>
          <cell r="M92">
            <v>49150</v>
          </cell>
          <cell r="N92">
            <v>-4819358.78</v>
          </cell>
        </row>
        <row r="93">
          <cell r="I93">
            <v>49285</v>
          </cell>
          <cell r="J93">
            <v>8624624.7100000009</v>
          </cell>
          <cell r="M93">
            <v>49285</v>
          </cell>
          <cell r="N93">
            <v>75509.36</v>
          </cell>
        </row>
        <row r="94">
          <cell r="I94">
            <v>49300</v>
          </cell>
          <cell r="J94">
            <v>-636741.63</v>
          </cell>
          <cell r="M94">
            <v>49300</v>
          </cell>
          <cell r="N94">
            <v>-5574.73</v>
          </cell>
        </row>
        <row r="95">
          <cell r="I95">
            <v>49510</v>
          </cell>
          <cell r="J95">
            <v>-86581485.400000006</v>
          </cell>
          <cell r="M95">
            <v>49510</v>
          </cell>
          <cell r="N95">
            <v>-758028.61</v>
          </cell>
        </row>
        <row r="96">
          <cell r="I96">
            <v>49600</v>
          </cell>
          <cell r="J96">
            <v>-134875.69</v>
          </cell>
          <cell r="M96">
            <v>49600</v>
          </cell>
          <cell r="N96">
            <v>-1180.8499999999999</v>
          </cell>
        </row>
        <row r="97">
          <cell r="I97">
            <v>49680</v>
          </cell>
          <cell r="J97">
            <v>-49545418.979999997</v>
          </cell>
          <cell r="M97">
            <v>49680</v>
          </cell>
          <cell r="N97">
            <v>-433774.55</v>
          </cell>
        </row>
        <row r="98">
          <cell r="I98">
            <v>49690</v>
          </cell>
          <cell r="J98">
            <v>-45010</v>
          </cell>
          <cell r="M98">
            <v>49690</v>
          </cell>
          <cell r="N98">
            <v>-394.07</v>
          </cell>
        </row>
        <row r="99">
          <cell r="I99">
            <v>49700</v>
          </cell>
          <cell r="J99">
            <v>-33584293.060000002</v>
          </cell>
          <cell r="M99">
            <v>49700</v>
          </cell>
          <cell r="N99">
            <v>-294033.46999999997</v>
          </cell>
        </row>
        <row r="100">
          <cell r="I100">
            <v>49750</v>
          </cell>
          <cell r="J100">
            <v>-1718189.8</v>
          </cell>
          <cell r="M100">
            <v>49750</v>
          </cell>
          <cell r="N100">
            <v>-15042.9</v>
          </cell>
        </row>
        <row r="101">
          <cell r="I101">
            <v>49775</v>
          </cell>
          <cell r="J101">
            <v>1108458.5900000001</v>
          </cell>
          <cell r="M101">
            <v>49775</v>
          </cell>
          <cell r="N101">
            <v>9704.65</v>
          </cell>
        </row>
        <row r="102">
          <cell r="I102">
            <v>60000</v>
          </cell>
          <cell r="J102">
            <v>591041.04</v>
          </cell>
          <cell r="M102">
            <v>60000</v>
          </cell>
          <cell r="N102">
            <v>5174.62</v>
          </cell>
        </row>
        <row r="103">
          <cell r="I103">
            <v>61000</v>
          </cell>
          <cell r="J103">
            <v>5876.61</v>
          </cell>
          <cell r="M103">
            <v>61000</v>
          </cell>
          <cell r="N103">
            <v>51.45</v>
          </cell>
        </row>
        <row r="104">
          <cell r="I104">
            <v>62000</v>
          </cell>
          <cell r="J104">
            <v>34119.230000000003</v>
          </cell>
          <cell r="M104">
            <v>62000</v>
          </cell>
          <cell r="N104">
            <v>298.72000000000003</v>
          </cell>
        </row>
        <row r="105">
          <cell r="I105">
            <v>63000</v>
          </cell>
          <cell r="J105">
            <v>91666.66</v>
          </cell>
          <cell r="M105">
            <v>63000</v>
          </cell>
          <cell r="N105">
            <v>802.55</v>
          </cell>
        </row>
        <row r="106">
          <cell r="I106">
            <v>64000</v>
          </cell>
          <cell r="J106">
            <v>45810.73</v>
          </cell>
          <cell r="M106">
            <v>64000</v>
          </cell>
          <cell r="N106">
            <v>401.08</v>
          </cell>
        </row>
        <row r="107">
          <cell r="I107">
            <v>65000</v>
          </cell>
          <cell r="J107">
            <v>6766655.4699999997</v>
          </cell>
          <cell r="M107">
            <v>65000</v>
          </cell>
          <cell r="N107">
            <v>59242.67</v>
          </cell>
        </row>
        <row r="108">
          <cell r="I108">
            <v>66000</v>
          </cell>
          <cell r="J108">
            <v>991.23</v>
          </cell>
          <cell r="M108">
            <v>66000</v>
          </cell>
          <cell r="N108">
            <v>8.68</v>
          </cell>
        </row>
        <row r="109">
          <cell r="I109">
            <v>67000</v>
          </cell>
          <cell r="J109">
            <v>7906.29</v>
          </cell>
          <cell r="M109">
            <v>67000</v>
          </cell>
          <cell r="N109">
            <v>69.22</v>
          </cell>
        </row>
        <row r="110">
          <cell r="I110">
            <v>69000</v>
          </cell>
          <cell r="J110">
            <v>2138.94</v>
          </cell>
          <cell r="M110">
            <v>69000</v>
          </cell>
          <cell r="N110">
            <v>18.73</v>
          </cell>
        </row>
        <row r="111">
          <cell r="I111">
            <v>69500</v>
          </cell>
          <cell r="J111">
            <v>15371.33</v>
          </cell>
          <cell r="M111">
            <v>69500</v>
          </cell>
          <cell r="N111">
            <v>134.58000000000001</v>
          </cell>
        </row>
      </sheetData>
      <sheetData sheetId="5">
        <row r="5">
          <cell r="A5" t="str">
            <v>CY</v>
          </cell>
          <cell r="B5" t="str">
            <v>Jan</v>
          </cell>
          <cell r="C5" t="str">
            <v>Feb</v>
          </cell>
          <cell r="D5" t="str">
            <v>March</v>
          </cell>
          <cell r="E5" t="str">
            <v>April</v>
          </cell>
          <cell r="F5" t="str">
            <v>May</v>
          </cell>
          <cell r="G5" t="str">
            <v>June</v>
          </cell>
          <cell r="H5" t="str">
            <v>July</v>
          </cell>
          <cell r="I5" t="str">
            <v>August</v>
          </cell>
          <cell r="J5" t="str">
            <v>Sept</v>
          </cell>
          <cell r="K5" t="str">
            <v>October</v>
          </cell>
          <cell r="L5" t="str">
            <v>Nov</v>
          </cell>
          <cell r="M5" t="str">
            <v>Dec</v>
          </cell>
          <cell r="O5" t="str">
            <v>Average</v>
          </cell>
          <cell r="Q5" t="str">
            <v>Change</v>
          </cell>
        </row>
        <row r="6">
          <cell r="A6">
            <v>1981</v>
          </cell>
          <cell r="B6">
            <v>260.5</v>
          </cell>
          <cell r="C6">
            <v>263.2</v>
          </cell>
          <cell r="D6">
            <v>265.10000000000002</v>
          </cell>
          <cell r="E6">
            <v>266.8</v>
          </cell>
          <cell r="F6">
            <v>269</v>
          </cell>
          <cell r="G6">
            <v>271.3</v>
          </cell>
          <cell r="H6">
            <v>274.39999999999998</v>
          </cell>
          <cell r="I6">
            <v>276.5</v>
          </cell>
          <cell r="J6">
            <v>279.3</v>
          </cell>
          <cell r="K6">
            <v>279.89999999999998</v>
          </cell>
          <cell r="L6">
            <v>280.7</v>
          </cell>
          <cell r="M6">
            <v>281.5</v>
          </cell>
          <cell r="O6">
            <v>272.35000000000002</v>
          </cell>
        </row>
        <row r="7">
          <cell r="A7">
            <v>1982</v>
          </cell>
          <cell r="B7">
            <v>282.5</v>
          </cell>
          <cell r="C7">
            <v>283.39999999999998</v>
          </cell>
          <cell r="D7">
            <v>283.10000000000002</v>
          </cell>
          <cell r="E7">
            <v>284.3</v>
          </cell>
          <cell r="F7">
            <v>287.10000000000002</v>
          </cell>
          <cell r="G7">
            <v>290.60000000000002</v>
          </cell>
          <cell r="H7">
            <v>292.2</v>
          </cell>
          <cell r="I7">
            <v>292.8</v>
          </cell>
          <cell r="J7">
            <v>293.3</v>
          </cell>
          <cell r="K7">
            <v>294.10000000000002</v>
          </cell>
          <cell r="L7">
            <v>293.60000000000002</v>
          </cell>
          <cell r="M7">
            <v>292.39999999999998</v>
          </cell>
          <cell r="O7">
            <v>289.11666666666667</v>
          </cell>
          <cell r="Q7">
            <v>6.1562939844562695E-2</v>
          </cell>
        </row>
        <row r="8">
          <cell r="A8">
            <v>1983</v>
          </cell>
          <cell r="B8">
            <v>293.10000000000002</v>
          </cell>
          <cell r="C8">
            <v>293.2</v>
          </cell>
          <cell r="D8">
            <v>293.39999999999998</v>
          </cell>
          <cell r="E8">
            <v>295.5</v>
          </cell>
          <cell r="F8">
            <v>297.10000000000002</v>
          </cell>
          <cell r="G8">
            <v>298.10000000000002</v>
          </cell>
          <cell r="H8">
            <v>299.3</v>
          </cell>
          <cell r="I8">
            <v>300.3</v>
          </cell>
          <cell r="J8">
            <v>301.8</v>
          </cell>
          <cell r="K8">
            <v>302.60000000000002</v>
          </cell>
          <cell r="L8">
            <v>303.10000000000002</v>
          </cell>
          <cell r="M8">
            <v>303.5</v>
          </cell>
          <cell r="O8">
            <v>298.41666666666669</v>
          </cell>
          <cell r="Q8">
            <v>3.2166945293134297E-2</v>
          </cell>
        </row>
        <row r="9">
          <cell r="A9">
            <v>1984</v>
          </cell>
          <cell r="B9">
            <v>305.2</v>
          </cell>
          <cell r="C9">
            <v>306.60000000000002</v>
          </cell>
          <cell r="D9">
            <v>307.3</v>
          </cell>
          <cell r="E9">
            <v>308.8</v>
          </cell>
          <cell r="F9">
            <v>309.7</v>
          </cell>
          <cell r="G9">
            <v>310.7</v>
          </cell>
          <cell r="H9">
            <v>311.7</v>
          </cell>
          <cell r="I9">
            <v>313</v>
          </cell>
          <cell r="J9">
            <v>314.5</v>
          </cell>
          <cell r="K9">
            <v>315.3</v>
          </cell>
          <cell r="L9">
            <v>315.3</v>
          </cell>
          <cell r="M9">
            <v>315.5</v>
          </cell>
          <cell r="O9">
            <v>311.13333333333338</v>
          </cell>
          <cell r="Q9">
            <v>4.261379502932152E-2</v>
          </cell>
        </row>
        <row r="10">
          <cell r="A10">
            <v>1985</v>
          </cell>
          <cell r="B10">
            <v>316.10000000000002</v>
          </cell>
          <cell r="C10">
            <v>317.39999999999998</v>
          </cell>
          <cell r="D10">
            <v>318.8</v>
          </cell>
          <cell r="E10">
            <v>320.10000000000002</v>
          </cell>
          <cell r="F10">
            <v>321.3</v>
          </cell>
          <cell r="G10">
            <v>322.3</v>
          </cell>
          <cell r="H10">
            <v>322.8</v>
          </cell>
          <cell r="I10">
            <v>323.5</v>
          </cell>
          <cell r="J10">
            <v>324.5</v>
          </cell>
          <cell r="K10">
            <v>325.5</v>
          </cell>
          <cell r="L10">
            <v>326.60000000000002</v>
          </cell>
          <cell r="M10">
            <v>327.39999999999998</v>
          </cell>
          <cell r="O10">
            <v>322.19166666666666</v>
          </cell>
          <cell r="Q10">
            <v>3.5542104135418723E-2</v>
          </cell>
        </row>
        <row r="11">
          <cell r="A11">
            <v>1986</v>
          </cell>
          <cell r="B11">
            <v>328.4</v>
          </cell>
          <cell r="C11">
            <v>327.5</v>
          </cell>
          <cell r="D11">
            <v>326</v>
          </cell>
          <cell r="E11">
            <v>325.3</v>
          </cell>
          <cell r="F11">
            <v>326.3</v>
          </cell>
          <cell r="G11">
            <v>327.9</v>
          </cell>
          <cell r="H11">
            <v>328</v>
          </cell>
          <cell r="I11">
            <v>328.6</v>
          </cell>
          <cell r="J11">
            <v>330.2</v>
          </cell>
          <cell r="K11">
            <v>330.5</v>
          </cell>
          <cell r="L11">
            <v>330.8</v>
          </cell>
          <cell r="M11">
            <v>331.1</v>
          </cell>
          <cell r="O11">
            <v>328.38333333333333</v>
          </cell>
          <cell r="Q11">
            <v>1.9217339575304544E-2</v>
          </cell>
        </row>
        <row r="12">
          <cell r="A12">
            <v>1987</v>
          </cell>
          <cell r="B12">
            <v>333.1</v>
          </cell>
          <cell r="C12">
            <v>334.4</v>
          </cell>
          <cell r="D12">
            <v>335.9</v>
          </cell>
          <cell r="E12">
            <v>337.7</v>
          </cell>
          <cell r="F12">
            <v>338.7</v>
          </cell>
          <cell r="G12">
            <v>340.1</v>
          </cell>
          <cell r="H12">
            <v>340.8</v>
          </cell>
          <cell r="I12">
            <v>342.7</v>
          </cell>
          <cell r="J12">
            <v>344.4</v>
          </cell>
          <cell r="K12">
            <v>345.3</v>
          </cell>
          <cell r="L12">
            <v>345.8</v>
          </cell>
          <cell r="M12">
            <v>345.7</v>
          </cell>
          <cell r="O12">
            <v>340.38333333333338</v>
          </cell>
          <cell r="Q12">
            <v>3.6542658478404474E-2</v>
          </cell>
        </row>
        <row r="13">
          <cell r="A13">
            <v>1988</v>
          </cell>
          <cell r="B13">
            <v>346.7</v>
          </cell>
          <cell r="C13">
            <v>347.4</v>
          </cell>
          <cell r="D13">
            <v>349</v>
          </cell>
          <cell r="E13">
            <v>350.8</v>
          </cell>
          <cell r="F13">
            <v>352</v>
          </cell>
          <cell r="G13">
            <v>353.5</v>
          </cell>
          <cell r="H13">
            <v>354.9</v>
          </cell>
          <cell r="I13">
            <v>356.6</v>
          </cell>
          <cell r="J13">
            <v>358.9</v>
          </cell>
          <cell r="K13">
            <v>360.1</v>
          </cell>
          <cell r="L13">
            <v>360.5</v>
          </cell>
          <cell r="M13">
            <v>360.9</v>
          </cell>
          <cell r="O13">
            <v>354.27499999999992</v>
          </cell>
          <cell r="Q13">
            <v>4.0811829799735209E-2</v>
          </cell>
        </row>
        <row r="14">
          <cell r="A14">
            <v>1989</v>
          </cell>
          <cell r="B14">
            <v>362.7</v>
          </cell>
          <cell r="C14">
            <v>364.1</v>
          </cell>
          <cell r="D14">
            <v>366.2</v>
          </cell>
          <cell r="E14">
            <v>368.8</v>
          </cell>
          <cell r="F14">
            <v>370.8</v>
          </cell>
          <cell r="G14">
            <v>371.7</v>
          </cell>
          <cell r="H14">
            <v>372.7</v>
          </cell>
          <cell r="I14">
            <v>373.1</v>
          </cell>
          <cell r="J14">
            <v>374.6</v>
          </cell>
          <cell r="K14">
            <v>376.2</v>
          </cell>
          <cell r="L14">
            <v>377</v>
          </cell>
          <cell r="M14">
            <v>377.6</v>
          </cell>
          <cell r="O14">
            <v>371.29166666666657</v>
          </cell>
          <cell r="Q14">
            <v>4.8032366570225547E-2</v>
          </cell>
        </row>
        <row r="15">
          <cell r="A15">
            <v>1990</v>
          </cell>
          <cell r="B15">
            <v>381.5</v>
          </cell>
          <cell r="C15">
            <v>383.3</v>
          </cell>
          <cell r="D15">
            <v>385.5</v>
          </cell>
          <cell r="E15">
            <v>386.2</v>
          </cell>
          <cell r="F15">
            <v>386.9</v>
          </cell>
          <cell r="G15">
            <v>389.1</v>
          </cell>
          <cell r="H15">
            <v>390.7</v>
          </cell>
          <cell r="I15">
            <v>394.1</v>
          </cell>
          <cell r="J15">
            <v>397.5</v>
          </cell>
          <cell r="K15">
            <v>400</v>
          </cell>
          <cell r="L15">
            <v>400.7</v>
          </cell>
          <cell r="M15">
            <v>400.9</v>
          </cell>
          <cell r="O15">
            <v>391.36666666666662</v>
          </cell>
          <cell r="Q15">
            <v>5.4068005835484372E-2</v>
          </cell>
        </row>
        <row r="16">
          <cell r="A16">
            <v>1991</v>
          </cell>
          <cell r="B16">
            <v>403.1</v>
          </cell>
          <cell r="C16">
            <v>403.8</v>
          </cell>
          <cell r="D16">
            <v>404.3</v>
          </cell>
          <cell r="E16">
            <v>405.1</v>
          </cell>
          <cell r="F16">
            <v>406.3</v>
          </cell>
          <cell r="G16">
            <v>407.3</v>
          </cell>
          <cell r="H16">
            <v>408</v>
          </cell>
          <cell r="I16">
            <v>409.2</v>
          </cell>
          <cell r="J16">
            <v>411.1</v>
          </cell>
          <cell r="K16">
            <v>411.5</v>
          </cell>
          <cell r="L16">
            <v>412.7</v>
          </cell>
          <cell r="M16">
            <v>413</v>
          </cell>
          <cell r="O16">
            <v>407.95</v>
          </cell>
          <cell r="Q16">
            <v>4.2372881355932306E-2</v>
          </cell>
        </row>
        <row r="17">
          <cell r="A17">
            <v>1992</v>
          </cell>
          <cell r="B17">
            <v>413.8</v>
          </cell>
          <cell r="C17">
            <v>415.2</v>
          </cell>
          <cell r="D17">
            <v>417.2</v>
          </cell>
          <cell r="E17">
            <v>417.9</v>
          </cell>
          <cell r="F17">
            <v>418.6</v>
          </cell>
          <cell r="G17">
            <v>419.9</v>
          </cell>
          <cell r="H17">
            <v>420.8</v>
          </cell>
          <cell r="I17">
            <v>422</v>
          </cell>
          <cell r="J17">
            <v>423.2</v>
          </cell>
          <cell r="K17">
            <v>424.7</v>
          </cell>
          <cell r="L17">
            <v>425.3</v>
          </cell>
          <cell r="M17">
            <v>425.2</v>
          </cell>
          <cell r="O17">
            <v>420.31666666666666</v>
          </cell>
          <cell r="Q17">
            <v>3.0314172488458573E-2</v>
          </cell>
        </row>
        <row r="18">
          <cell r="A18">
            <v>1993</v>
          </cell>
          <cell r="B18">
            <v>427</v>
          </cell>
          <cell r="C18">
            <v>428.7</v>
          </cell>
          <cell r="D18">
            <v>430.1</v>
          </cell>
          <cell r="E18">
            <v>431.2</v>
          </cell>
          <cell r="F18">
            <v>432</v>
          </cell>
          <cell r="G18">
            <v>432.4</v>
          </cell>
          <cell r="H18">
            <v>432.6</v>
          </cell>
          <cell r="I18">
            <v>433.9</v>
          </cell>
          <cell r="J18">
            <v>434.7</v>
          </cell>
          <cell r="K18">
            <v>436.4</v>
          </cell>
          <cell r="L18">
            <v>436.9</v>
          </cell>
          <cell r="M18">
            <v>436.8</v>
          </cell>
          <cell r="O18">
            <v>432.72499999999997</v>
          </cell>
          <cell r="Q18">
            <v>2.9521392600816772E-2</v>
          </cell>
        </row>
        <row r="19">
          <cell r="A19">
            <v>1994</v>
          </cell>
          <cell r="B19">
            <v>437.8</v>
          </cell>
          <cell r="C19">
            <v>439.3</v>
          </cell>
          <cell r="D19">
            <v>441.1</v>
          </cell>
          <cell r="E19">
            <v>441.4</v>
          </cell>
          <cell r="F19">
            <v>441.9</v>
          </cell>
          <cell r="G19">
            <v>443.3</v>
          </cell>
          <cell r="H19">
            <v>444.4</v>
          </cell>
          <cell r="I19">
            <v>446.4</v>
          </cell>
          <cell r="J19">
            <v>447.5</v>
          </cell>
          <cell r="K19">
            <v>448</v>
          </cell>
          <cell r="L19">
            <v>448.6</v>
          </cell>
          <cell r="M19">
            <v>448.4</v>
          </cell>
          <cell r="O19">
            <v>444.00833333333338</v>
          </cell>
          <cell r="Q19">
            <v>2.6075066920869878E-2</v>
          </cell>
        </row>
        <row r="20">
          <cell r="A20">
            <v>1995</v>
          </cell>
          <cell r="B20">
            <v>450.3</v>
          </cell>
          <cell r="C20">
            <v>452</v>
          </cell>
          <cell r="D20">
            <v>453.5</v>
          </cell>
          <cell r="E20">
            <v>455</v>
          </cell>
          <cell r="F20">
            <v>455.8</v>
          </cell>
          <cell r="G20">
            <v>456.7</v>
          </cell>
          <cell r="H20">
            <v>457</v>
          </cell>
          <cell r="I20">
            <v>458</v>
          </cell>
          <cell r="J20">
            <v>459</v>
          </cell>
          <cell r="K20">
            <v>460.3</v>
          </cell>
          <cell r="L20">
            <v>460.1</v>
          </cell>
          <cell r="M20">
            <v>459.9</v>
          </cell>
          <cell r="O20">
            <v>456.46666666666664</v>
          </cell>
          <cell r="Q20">
            <v>2.8058782680505073E-2</v>
          </cell>
        </row>
        <row r="21">
          <cell r="A21">
            <v>1996</v>
          </cell>
          <cell r="B21">
            <v>462.5</v>
          </cell>
          <cell r="C21">
            <v>464.2</v>
          </cell>
          <cell r="D21">
            <v>466.6</v>
          </cell>
          <cell r="E21">
            <v>468.2</v>
          </cell>
          <cell r="F21">
            <v>469</v>
          </cell>
          <cell r="G21">
            <v>469.5</v>
          </cell>
          <cell r="H21">
            <v>470.4</v>
          </cell>
          <cell r="I21">
            <v>471.1</v>
          </cell>
          <cell r="J21">
            <v>472.7</v>
          </cell>
          <cell r="K21">
            <v>474.1</v>
          </cell>
          <cell r="L21">
            <v>475</v>
          </cell>
          <cell r="M21">
            <v>475</v>
          </cell>
          <cell r="O21">
            <v>469.85833333333335</v>
          </cell>
          <cell r="Q21">
            <v>2.9337666131152424E-2</v>
          </cell>
        </row>
        <row r="22">
          <cell r="A22">
            <v>1997</v>
          </cell>
          <cell r="B22">
            <v>476.7</v>
          </cell>
          <cell r="C22">
            <v>478.2</v>
          </cell>
          <cell r="D22">
            <v>479.3</v>
          </cell>
          <cell r="E22">
            <v>479.7</v>
          </cell>
          <cell r="F22">
            <v>479.6</v>
          </cell>
          <cell r="G22">
            <v>480.2</v>
          </cell>
          <cell r="H22">
            <v>480.7</v>
          </cell>
          <cell r="I22">
            <v>481.6</v>
          </cell>
          <cell r="J22">
            <v>483</v>
          </cell>
          <cell r="K22">
            <v>484.1</v>
          </cell>
          <cell r="L22">
            <v>483.9</v>
          </cell>
          <cell r="M22">
            <v>483.2</v>
          </cell>
          <cell r="O22">
            <v>480.84999999999997</v>
          </cell>
          <cell r="Q22">
            <v>2.3393576077895713E-2</v>
          </cell>
        </row>
        <row r="23">
          <cell r="A23">
            <v>1998</v>
          </cell>
          <cell r="B23">
            <v>484.2</v>
          </cell>
          <cell r="C23">
            <v>484.9</v>
          </cell>
          <cell r="D23">
            <v>485.8</v>
          </cell>
          <cell r="E23">
            <v>486.8</v>
          </cell>
          <cell r="F23">
            <v>487.7</v>
          </cell>
          <cell r="G23">
            <v>488.2</v>
          </cell>
          <cell r="H23">
            <v>488.8</v>
          </cell>
          <cell r="I23">
            <v>489.6</v>
          </cell>
          <cell r="J23">
            <v>490.1</v>
          </cell>
          <cell r="K23">
            <v>491.3</v>
          </cell>
          <cell r="L23">
            <v>491.3</v>
          </cell>
          <cell r="M23">
            <v>491</v>
          </cell>
          <cell r="O23">
            <v>488.30833333333334</v>
          </cell>
          <cell r="Q23">
            <v>1.5510727531108187E-2</v>
          </cell>
        </row>
        <row r="24">
          <cell r="A24">
            <v>1999</v>
          </cell>
          <cell r="B24">
            <v>492.3</v>
          </cell>
          <cell r="C24">
            <v>492.9</v>
          </cell>
          <cell r="D24">
            <v>494.4</v>
          </cell>
          <cell r="E24">
            <v>497.8</v>
          </cell>
          <cell r="F24">
            <v>497.7</v>
          </cell>
          <cell r="G24">
            <v>497.9</v>
          </cell>
          <cell r="H24">
            <v>499.2</v>
          </cell>
          <cell r="I24">
            <v>500.7</v>
          </cell>
          <cell r="J24">
            <v>502.9</v>
          </cell>
          <cell r="K24">
            <v>503.9</v>
          </cell>
          <cell r="L24">
            <v>504.1</v>
          </cell>
          <cell r="M24">
            <v>504.1</v>
          </cell>
          <cell r="O24">
            <v>498.99166666666662</v>
          </cell>
          <cell r="Q24">
            <v>2.1878253152891679E-2</v>
          </cell>
        </row>
        <row r="25">
          <cell r="A25">
            <v>2000</v>
          </cell>
          <cell r="B25">
            <v>505.8</v>
          </cell>
          <cell r="C25">
            <v>508.7</v>
          </cell>
          <cell r="D25">
            <v>512.79999999999995</v>
          </cell>
          <cell r="E25">
            <v>513.20000000000005</v>
          </cell>
          <cell r="F25">
            <v>513.6</v>
          </cell>
          <cell r="G25">
            <v>516.5</v>
          </cell>
          <cell r="H25">
            <v>517.5</v>
          </cell>
          <cell r="I25">
            <v>517.6</v>
          </cell>
          <cell r="J25">
            <v>520.29999999999995</v>
          </cell>
          <cell r="K25">
            <v>521.20000000000005</v>
          </cell>
          <cell r="L25">
            <v>521.5</v>
          </cell>
          <cell r="M25">
            <v>521.1</v>
          </cell>
          <cell r="O25">
            <v>515.81666666666672</v>
          </cell>
          <cell r="Q25">
            <v>3.3717997962558033E-2</v>
          </cell>
        </row>
        <row r="26">
          <cell r="A26">
            <v>2001</v>
          </cell>
          <cell r="B26">
            <v>524.5</v>
          </cell>
          <cell r="C26">
            <v>526.70000000000005</v>
          </cell>
          <cell r="D26">
            <v>528</v>
          </cell>
          <cell r="E26">
            <v>529.9</v>
          </cell>
          <cell r="F26">
            <v>532.20000000000005</v>
          </cell>
          <cell r="G26">
            <v>533.29999999999995</v>
          </cell>
          <cell r="H26">
            <v>531.6</v>
          </cell>
          <cell r="I26">
            <v>531.79999999999995</v>
          </cell>
          <cell r="J26">
            <v>534</v>
          </cell>
          <cell r="K26">
            <v>532.20000000000005</v>
          </cell>
          <cell r="L26">
            <v>531.29999999999995</v>
          </cell>
          <cell r="M26">
            <v>529.20000000000005</v>
          </cell>
          <cell r="O26">
            <v>530.39166666666665</v>
          </cell>
          <cell r="Q26">
            <v>2.8256163365536716E-2</v>
          </cell>
        </row>
        <row r="27">
          <cell r="A27">
            <v>2002</v>
          </cell>
          <cell r="B27">
            <v>530.6</v>
          </cell>
          <cell r="C27">
            <v>532.70000000000005</v>
          </cell>
          <cell r="D27">
            <v>535.5</v>
          </cell>
          <cell r="E27">
            <v>538.6</v>
          </cell>
          <cell r="F27">
            <v>538.5</v>
          </cell>
          <cell r="G27">
            <v>538.9</v>
          </cell>
          <cell r="H27">
            <v>539.5</v>
          </cell>
          <cell r="I27">
            <v>541.20000000000005</v>
          </cell>
          <cell r="J27">
            <v>542.1</v>
          </cell>
          <cell r="K27">
            <v>543.20000000000005</v>
          </cell>
          <cell r="L27">
            <v>543.1</v>
          </cell>
          <cell r="M27">
            <v>541.9</v>
          </cell>
          <cell r="O27">
            <v>538.81666666666672</v>
          </cell>
          <cell r="Q27">
            <v>1.5884487878454732E-2</v>
          </cell>
        </row>
        <row r="28">
          <cell r="A28">
            <v>2003</v>
          </cell>
          <cell r="B28">
            <v>544.20000000000005</v>
          </cell>
          <cell r="C28">
            <v>548.5</v>
          </cell>
          <cell r="D28">
            <v>551.79999999999995</v>
          </cell>
          <cell r="E28">
            <v>550.5</v>
          </cell>
          <cell r="F28">
            <v>549.70000000000005</v>
          </cell>
          <cell r="G28">
            <v>550.4</v>
          </cell>
          <cell r="H28">
            <v>550.9</v>
          </cell>
          <cell r="I28">
            <v>553</v>
          </cell>
          <cell r="J28">
            <v>554.70000000000005</v>
          </cell>
          <cell r="K28">
            <v>554.29999999999995</v>
          </cell>
          <cell r="L28">
            <v>552.70000000000005</v>
          </cell>
          <cell r="M28">
            <v>552.1</v>
          </cell>
          <cell r="O28">
            <v>551.06666666666672</v>
          </cell>
          <cell r="Q28">
            <v>2.2735005722416404E-2</v>
          </cell>
        </row>
        <row r="29">
          <cell r="A29">
            <v>2004</v>
          </cell>
          <cell r="B29">
            <v>554.9</v>
          </cell>
          <cell r="C29">
            <v>557.9</v>
          </cell>
          <cell r="D29">
            <v>561.5</v>
          </cell>
          <cell r="E29">
            <v>563.20000000000005</v>
          </cell>
          <cell r="F29">
            <v>566.4</v>
          </cell>
          <cell r="G29">
            <v>568.20000000000005</v>
          </cell>
          <cell r="H29">
            <v>567.5</v>
          </cell>
          <cell r="I29">
            <v>567.6</v>
          </cell>
          <cell r="J29">
            <v>568.70000000000005</v>
          </cell>
          <cell r="K29">
            <v>571.9</v>
          </cell>
          <cell r="L29">
            <v>572.20000000000005</v>
          </cell>
          <cell r="M29">
            <v>570.1</v>
          </cell>
          <cell r="O29">
            <v>565.8416666666667</v>
          </cell>
          <cell r="Q29">
            <v>2.6811638035325387E-2</v>
          </cell>
        </row>
        <row r="30">
          <cell r="A30">
            <v>2005</v>
          </cell>
          <cell r="B30">
            <v>571.20000000000005</v>
          </cell>
          <cell r="C30">
            <v>574.5</v>
          </cell>
          <cell r="D30">
            <v>579</v>
          </cell>
          <cell r="E30">
            <v>582.9</v>
          </cell>
          <cell r="F30">
            <v>582.4</v>
          </cell>
          <cell r="G30">
            <v>582.6</v>
          </cell>
          <cell r="H30">
            <v>585.20000000000005</v>
          </cell>
          <cell r="I30">
            <v>588.20000000000005</v>
          </cell>
          <cell r="J30">
            <v>595.4</v>
          </cell>
          <cell r="K30">
            <v>596.70000000000005</v>
          </cell>
          <cell r="L30">
            <v>592</v>
          </cell>
          <cell r="M30">
            <v>589.4</v>
          </cell>
          <cell r="O30">
            <v>584.95833333333326</v>
          </cell>
          <cell r="Q30">
            <v>3.378448034638646E-2</v>
          </cell>
        </row>
        <row r="31">
          <cell r="A31">
            <v>2006</v>
          </cell>
          <cell r="B31">
            <v>593.9</v>
          </cell>
          <cell r="C31">
            <v>595.20000000000005</v>
          </cell>
          <cell r="D31">
            <v>598.6</v>
          </cell>
          <cell r="E31">
            <v>603.5</v>
          </cell>
          <cell r="F31">
            <v>606.5</v>
          </cell>
          <cell r="G31">
            <v>607.79999999999995</v>
          </cell>
          <cell r="H31">
            <v>609.6</v>
          </cell>
          <cell r="I31">
            <v>610.9</v>
          </cell>
          <cell r="J31">
            <v>607.9</v>
          </cell>
          <cell r="K31">
            <v>604.6</v>
          </cell>
          <cell r="L31">
            <v>603.6</v>
          </cell>
          <cell r="M31">
            <v>604.5</v>
          </cell>
          <cell r="O31">
            <v>603.88333333333333</v>
          </cell>
          <cell r="Q31">
            <v>3.2352731676045424E-2</v>
          </cell>
        </row>
        <row r="32">
          <cell r="A32">
            <v>2007</v>
          </cell>
          <cell r="B32">
            <v>606.34799999999996</v>
          </cell>
          <cell r="C32">
            <v>609.59400000000005</v>
          </cell>
          <cell r="D32">
            <v>615.14499999999998</v>
          </cell>
          <cell r="E32">
            <v>619.14</v>
          </cell>
          <cell r="F32">
            <v>622.92100000000005</v>
          </cell>
          <cell r="G32">
            <v>624.12900000000002</v>
          </cell>
          <cell r="H32">
            <v>623.97</v>
          </cell>
          <cell r="I32">
            <v>622.827</v>
          </cell>
          <cell r="J32">
            <v>624.54300000000001</v>
          </cell>
          <cell r="K32">
            <v>625.87900000000002</v>
          </cell>
          <cell r="L32">
            <v>629.59799999999996</v>
          </cell>
          <cell r="M32">
            <v>629.17399999999998</v>
          </cell>
          <cell r="O32">
            <v>621.10566666666671</v>
          </cell>
          <cell r="Q32">
            <v>2.8519305605387433E-2</v>
          </cell>
        </row>
        <row r="33">
          <cell r="A33">
            <v>2008</v>
          </cell>
          <cell r="B33">
            <v>632.30100000000004</v>
          </cell>
          <cell r="C33">
            <v>634.13900000000001</v>
          </cell>
          <cell r="D33">
            <v>639.63599999999997</v>
          </cell>
          <cell r="E33">
            <v>643.51499999999999</v>
          </cell>
          <cell r="F33">
            <v>648.93299999999999</v>
          </cell>
          <cell r="G33">
            <v>655.47400000000005</v>
          </cell>
          <cell r="H33">
            <v>658.91499999999996</v>
          </cell>
          <cell r="I33">
            <v>656.28399999999999</v>
          </cell>
          <cell r="J33">
            <v>655.37599999999998</v>
          </cell>
          <cell r="K33">
            <v>648.75800000000004</v>
          </cell>
          <cell r="L33">
            <v>636.33199999999999</v>
          </cell>
          <cell r="M33">
            <v>629.75099999999998</v>
          </cell>
          <cell r="O33">
            <v>644.95116666666672</v>
          </cell>
          <cell r="Q33">
            <v>3.8392018105346565E-2</v>
          </cell>
        </row>
        <row r="34">
          <cell r="A34">
            <v>2009</v>
          </cell>
          <cell r="B34">
            <v>632.49099999999999</v>
          </cell>
          <cell r="C34">
            <v>635.63699999999994</v>
          </cell>
          <cell r="D34">
            <v>637.18200000000002</v>
          </cell>
          <cell r="E34">
            <v>638.77099999999996</v>
          </cell>
          <cell r="F34">
            <v>640.61599999999999</v>
          </cell>
          <cell r="G34">
            <v>646.12099999999998</v>
          </cell>
          <cell r="H34">
            <v>645.096</v>
          </cell>
          <cell r="I34">
            <v>646.54399999999998</v>
          </cell>
          <cell r="J34">
            <v>646.94799999999998</v>
          </cell>
          <cell r="K34">
            <v>647.57000000000005</v>
          </cell>
          <cell r="L34">
            <v>648.02800000000002</v>
          </cell>
          <cell r="M34">
            <v>646.88699999999994</v>
          </cell>
          <cell r="O34">
            <v>642.65758333333338</v>
          </cell>
          <cell r="Q34">
            <v>-3.5562123954087656E-3</v>
          </cell>
        </row>
        <row r="35">
          <cell r="A35">
            <v>2010</v>
          </cell>
          <cell r="B35">
            <v>649.09799999999996</v>
          </cell>
          <cell r="C35">
            <v>649.25900000000001</v>
          </cell>
          <cell r="D35">
            <v>651.92499999999995</v>
          </cell>
          <cell r="E35">
            <v>653.05899999999997</v>
          </cell>
          <cell r="F35">
            <v>653.56399999999996</v>
          </cell>
          <cell r="G35">
            <v>652.92600000000004</v>
          </cell>
          <cell r="H35">
            <v>653.06600000000003</v>
          </cell>
          <cell r="I35">
            <v>653.96600000000001</v>
          </cell>
          <cell r="J35">
            <v>654.346</v>
          </cell>
          <cell r="K35">
            <v>655.16200000000003</v>
          </cell>
          <cell r="L35">
            <v>655.43799999999999</v>
          </cell>
          <cell r="M35">
            <v>656.56299999999999</v>
          </cell>
          <cell r="O35">
            <v>653.19766666666681</v>
          </cell>
          <cell r="Q35">
            <v>1.6400776411388741E-2</v>
          </cell>
        </row>
        <row r="36">
          <cell r="A36">
            <v>2011</v>
          </cell>
          <cell r="B36">
            <v>659.69200000000001</v>
          </cell>
          <cell r="C36">
            <v>662.94299999999998</v>
          </cell>
          <cell r="D36">
            <v>669.40899999999999</v>
          </cell>
          <cell r="E36">
            <v>673.71699999999998</v>
          </cell>
          <cell r="F36">
            <v>676.88699999999994</v>
          </cell>
          <cell r="G36">
            <v>676.16200000000003</v>
          </cell>
          <cell r="H36">
            <v>676.76199999999994</v>
          </cell>
          <cell r="I36">
            <v>678.62800000000004</v>
          </cell>
          <cell r="J36">
            <v>679.65800000000002</v>
          </cell>
          <cell r="K36">
            <v>678.25800000000004</v>
          </cell>
          <cell r="L36">
            <v>677.68399999999997</v>
          </cell>
          <cell r="M36">
            <v>676.01400000000001</v>
          </cell>
          <cell r="O36">
            <v>673.8178333333334</v>
          </cell>
          <cell r="Q36">
            <v>3.1568034790897787E-2</v>
          </cell>
        </row>
        <row r="37">
          <cell r="A37">
            <v>2012</v>
          </cell>
          <cell r="B37">
            <v>678.98800000000006</v>
          </cell>
          <cell r="C37">
            <v>681.97699999999998</v>
          </cell>
          <cell r="D37">
            <v>687.15700000000004</v>
          </cell>
          <cell r="E37">
            <v>689.23199999999997</v>
          </cell>
          <cell r="F37">
            <v>688.423</v>
          </cell>
          <cell r="G37">
            <v>687.41499999999996</v>
          </cell>
          <cell r="H37">
            <v>686.29399999999998</v>
          </cell>
          <cell r="I37">
            <v>690.11300000000006</v>
          </cell>
          <cell r="J37">
            <v>693.19200000000001</v>
          </cell>
          <cell r="K37">
            <v>692.923</v>
          </cell>
          <cell r="L37">
            <v>689.63900000000001</v>
          </cell>
          <cell r="M37">
            <v>687.78200000000004</v>
          </cell>
          <cell r="O37">
            <v>687.76125000000002</v>
          </cell>
          <cell r="Q37">
            <v>2.0693154702791757E-2</v>
          </cell>
        </row>
        <row r="38">
          <cell r="A38">
            <v>2013</v>
          </cell>
          <cell r="B38">
            <v>689.81799999999998</v>
          </cell>
          <cell r="C38">
            <v>695.46699999999998</v>
          </cell>
          <cell r="D38">
            <v>697.28399999999999</v>
          </cell>
          <cell r="E38">
            <v>696.56100000000004</v>
          </cell>
          <cell r="F38">
            <v>697.798</v>
          </cell>
          <cell r="G38">
            <v>699.47299999999996</v>
          </cell>
          <cell r="H38">
            <v>699.75099999999998</v>
          </cell>
          <cell r="I38">
            <v>700.59299999999996</v>
          </cell>
          <cell r="J38">
            <v>701.40599999999995</v>
          </cell>
          <cell r="K38">
            <v>699.601</v>
          </cell>
          <cell r="L38">
            <v>698.17100000000005</v>
          </cell>
          <cell r="M38">
            <v>698.11</v>
          </cell>
          <cell r="O38">
            <v>697.83608333333325</v>
          </cell>
          <cell r="Q38">
            <v>1.4648736510428919E-2</v>
          </cell>
        </row>
        <row r="39">
          <cell r="A39">
            <v>2014</v>
          </cell>
          <cell r="B39">
            <v>700.71</v>
          </cell>
          <cell r="C39">
            <v>703.3</v>
          </cell>
          <cell r="D39">
            <v>707.83</v>
          </cell>
          <cell r="E39">
            <v>708.33921527777784</v>
          </cell>
          <cell r="F39">
            <v>708.84843055555564</v>
          </cell>
          <cell r="G39">
            <v>709.35764583333344</v>
          </cell>
          <cell r="H39">
            <v>709.86686111111123</v>
          </cell>
          <cell r="I39">
            <v>710.37607638888903</v>
          </cell>
          <cell r="J39">
            <v>710.88529166666683</v>
          </cell>
          <cell r="K39">
            <v>711.39450694444463</v>
          </cell>
          <cell r="L39">
            <v>711.90372222222243</v>
          </cell>
          <cell r="M39">
            <v>712.41293750000023</v>
          </cell>
          <cell r="O39">
            <v>703.94666666666672</v>
          </cell>
          <cell r="Q39">
            <v>8.7564737325493709E-3</v>
          </cell>
        </row>
        <row r="40">
          <cell r="A40">
            <v>2015</v>
          </cell>
          <cell r="B40">
            <v>712.92215277777802</v>
          </cell>
          <cell r="C40">
            <v>654.2599305555558</v>
          </cell>
          <cell r="D40">
            <v>595.59770833333357</v>
          </cell>
          <cell r="E40">
            <v>536.93548611111135</v>
          </cell>
          <cell r="F40">
            <v>478.27326388888912</v>
          </cell>
          <cell r="G40">
            <v>419.61104166666689</v>
          </cell>
          <cell r="H40">
            <v>360.94881944444467</v>
          </cell>
          <cell r="I40">
            <v>302.28659722222244</v>
          </cell>
          <cell r="J40">
            <v>243.62437500000021</v>
          </cell>
          <cell r="K40">
            <v>184.96215277777799</v>
          </cell>
          <cell r="L40">
            <v>126.29993055555576</v>
          </cell>
          <cell r="M40">
            <v>67.637708333333535</v>
          </cell>
        </row>
      </sheetData>
      <sheetData sheetId="6"/>
      <sheetData sheetId="7"/>
      <sheetData sheetId="8"/>
      <sheetData sheetId="9">
        <row r="12">
          <cell r="W12">
            <v>1.46E-2</v>
          </cell>
          <cell r="AE12">
            <v>23509780.449471872</v>
          </cell>
        </row>
        <row r="14">
          <cell r="AE14">
            <v>0</v>
          </cell>
        </row>
        <row r="27">
          <cell r="G27">
            <v>23509780.449471872</v>
          </cell>
        </row>
        <row r="36">
          <cell r="G36">
            <v>7231866.0014824104</v>
          </cell>
        </row>
        <row r="46">
          <cell r="A46">
            <v>41729</v>
          </cell>
        </row>
        <row r="48">
          <cell r="A48">
            <v>41820</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F"/>
      <sheetName val="AMHTF"/>
      <sheetName val="Proj"/>
      <sheetName val="Recon"/>
      <sheetName val="BiTechData"/>
      <sheetName val="BiTechData200906"/>
      <sheetName val="High Precision Test"/>
      <sheetName val="CPI"/>
      <sheetName val="RevenueForecast"/>
      <sheetName val="Proj FYE"/>
      <sheetName val="YR End Res"/>
      <sheetName val="Instructions"/>
    </sheetNames>
    <sheetDataSet>
      <sheetData sheetId="0"/>
      <sheetData sheetId="1"/>
      <sheetData sheetId="2"/>
      <sheetData sheetId="3"/>
      <sheetData sheetId="4">
        <row r="1">
          <cell r="A1">
            <v>40359</v>
          </cell>
          <cell r="B1" t="str">
            <v>APFC Current</v>
          </cell>
          <cell r="C1" t="str">
            <v>APFC Total</v>
          </cell>
          <cell r="D1" t="str">
            <v>AMHT Current</v>
          </cell>
          <cell r="E1" t="str">
            <v>AMHT Total</v>
          </cell>
        </row>
        <row r="2">
          <cell r="A2" t="str">
            <v>1. End of period</v>
          </cell>
          <cell r="B2">
            <v>0</v>
          </cell>
          <cell r="C2">
            <v>33254810978.919998</v>
          </cell>
          <cell r="D2">
            <v>0</v>
          </cell>
          <cell r="E2">
            <v>351308417.45999998</v>
          </cell>
        </row>
        <row r="3">
          <cell r="A3" t="str">
            <v>2. 11400 State Dedicated Revenues</v>
          </cell>
          <cell r="C3">
            <v>762816.04</v>
          </cell>
          <cell r="E3">
            <v>0</v>
          </cell>
        </row>
        <row r="4">
          <cell r="A4" t="str">
            <v>3. 13990 RE GASB 31 MV</v>
          </cell>
          <cell r="C4">
            <v>0</v>
          </cell>
          <cell r="E4">
            <v>0</v>
          </cell>
        </row>
        <row r="5">
          <cell r="A5" t="str">
            <v>4. Legislative Appropriations Payable</v>
          </cell>
          <cell r="C5">
            <v>815903335.38999999</v>
          </cell>
          <cell r="E5">
            <v>0</v>
          </cell>
        </row>
        <row r="6">
          <cell r="A6" t="str">
            <v>5. July Legislative Appropriations Payable</v>
          </cell>
          <cell r="C6">
            <v>857983435.38999999</v>
          </cell>
          <cell r="E6">
            <v>0</v>
          </cell>
        </row>
        <row r="7">
          <cell r="A7" t="str">
            <v>Absolute Return bs</v>
          </cell>
          <cell r="B7">
            <v>0</v>
          </cell>
          <cell r="C7">
            <v>2163646800.5100002</v>
          </cell>
          <cell r="D7">
            <v>0</v>
          </cell>
          <cell r="E7">
            <v>21582952.879999999</v>
          </cell>
        </row>
        <row r="8">
          <cell r="A8" t="str">
            <v>Absolute Return is</v>
          </cell>
          <cell r="B8">
            <v>-32502894.420000002</v>
          </cell>
          <cell r="C8">
            <v>231777236.81999999</v>
          </cell>
          <cell r="D8">
            <v>-335306.65000000002</v>
          </cell>
          <cell r="E8">
            <v>2476527.06</v>
          </cell>
        </row>
        <row r="9">
          <cell r="A9" t="str">
            <v>Accounts payable bs</v>
          </cell>
          <cell r="B9">
            <v>0</v>
          </cell>
          <cell r="C9">
            <v>341973602.48000002</v>
          </cell>
          <cell r="D9">
            <v>0</v>
          </cell>
          <cell r="E9">
            <v>3774543.8</v>
          </cell>
        </row>
        <row r="10">
          <cell r="A10" t="str">
            <v>Alaska certificates of deposit</v>
          </cell>
          <cell r="B10">
            <v>0</v>
          </cell>
          <cell r="C10">
            <v>217598252.80000001</v>
          </cell>
          <cell r="D10">
            <v>0</v>
          </cell>
          <cell r="E10">
            <v>2401747.2000000002</v>
          </cell>
        </row>
        <row r="11">
          <cell r="A11" t="str">
            <v>Alternative Investments cost</v>
          </cell>
          <cell r="B11">
            <v>0</v>
          </cell>
          <cell r="C11">
            <v>6250963945.29</v>
          </cell>
          <cell r="D11">
            <v>0</v>
          </cell>
          <cell r="E11">
            <v>68995200.680000007</v>
          </cell>
        </row>
        <row r="12">
          <cell r="A12" t="str">
            <v>Beginning of period</v>
          </cell>
          <cell r="B12">
            <v>0</v>
          </cell>
          <cell r="C12">
            <v>29916069298.43</v>
          </cell>
          <cell r="D12">
            <v>0</v>
          </cell>
          <cell r="E12">
            <v>325830632.81</v>
          </cell>
        </row>
        <row r="13">
          <cell r="A13" t="str">
            <v>Cash and temporary investments</v>
          </cell>
          <cell r="B13">
            <v>0</v>
          </cell>
          <cell r="C13">
            <v>1519514381.1800001</v>
          </cell>
          <cell r="D13">
            <v>0</v>
          </cell>
          <cell r="E13">
            <v>16644081.060000001</v>
          </cell>
        </row>
        <row r="14">
          <cell r="A14" t="str">
            <v>Contributions and appropriations</v>
          </cell>
          <cell r="B14">
            <v>0</v>
          </cell>
          <cell r="C14">
            <v>31624137249.529999</v>
          </cell>
          <cell r="D14">
            <v>0</v>
          </cell>
          <cell r="E14">
            <v>344182104.16000003</v>
          </cell>
        </row>
        <row r="15">
          <cell r="A15" t="str">
            <v>Currency</v>
          </cell>
          <cell r="B15">
            <v>21150616.52</v>
          </cell>
          <cell r="C15">
            <v>-11296172.220000001</v>
          </cell>
          <cell r="D15">
            <v>218194.17</v>
          </cell>
          <cell r="E15">
            <v>-118720.77</v>
          </cell>
        </row>
        <row r="16">
          <cell r="A16" t="str">
            <v>Derivative Instruments</v>
          </cell>
          <cell r="B16">
            <v>-6530704.6299999999</v>
          </cell>
          <cell r="C16">
            <v>96429757.989999995</v>
          </cell>
          <cell r="D16">
            <v>-67372.11</v>
          </cell>
          <cell r="E16">
            <v>996817.43</v>
          </cell>
        </row>
        <row r="17">
          <cell r="A17" t="str">
            <v>Distressed Debt bs</v>
          </cell>
          <cell r="B17">
            <v>0</v>
          </cell>
          <cell r="C17">
            <v>275874700.74000001</v>
          </cell>
          <cell r="D17">
            <v>0</v>
          </cell>
          <cell r="E17">
            <v>2545986.0699999998</v>
          </cell>
        </row>
        <row r="18">
          <cell r="A18" t="str">
            <v>Distressed Debt is</v>
          </cell>
          <cell r="B18">
            <v>1347902.25</v>
          </cell>
          <cell r="C18">
            <v>79645835.870000005</v>
          </cell>
          <cell r="D18">
            <v>13905.24</v>
          </cell>
          <cell r="E18">
            <v>843964.17</v>
          </cell>
        </row>
        <row r="19">
          <cell r="A19" t="str">
            <v>Dividends is</v>
          </cell>
          <cell r="B19">
            <v>28572335.809999999</v>
          </cell>
          <cell r="C19">
            <v>351016590.45999998</v>
          </cell>
          <cell r="D19">
            <v>294758.18</v>
          </cell>
          <cell r="E19">
            <v>3710224.85</v>
          </cell>
        </row>
        <row r="20">
          <cell r="A20" t="str">
            <v>Dividends Receivable</v>
          </cell>
          <cell r="B20">
            <v>0</v>
          </cell>
          <cell r="C20">
            <v>29482400</v>
          </cell>
          <cell r="D20">
            <v>0</v>
          </cell>
          <cell r="E20">
            <v>325412.88</v>
          </cell>
        </row>
        <row r="21">
          <cell r="A21" t="str">
            <v>End of period</v>
          </cell>
          <cell r="B21">
            <v>0</v>
          </cell>
          <cell r="C21">
            <v>33254810978.919998</v>
          </cell>
          <cell r="D21">
            <v>0</v>
          </cell>
          <cell r="E21">
            <v>351308417.45999998</v>
          </cell>
        </row>
        <row r="22">
          <cell r="A22" t="str">
            <v>Equities Cost</v>
          </cell>
          <cell r="B22">
            <v>0</v>
          </cell>
          <cell r="C22">
            <v>16564701170.18</v>
          </cell>
          <cell r="D22">
            <v>0</v>
          </cell>
          <cell r="E22">
            <v>182833382.38999999</v>
          </cell>
        </row>
        <row r="23">
          <cell r="A23" t="str">
            <v>Excess (deficiency) of revenue over expenditures</v>
          </cell>
          <cell r="B23">
            <v>-540703335.28999996</v>
          </cell>
          <cell r="C23">
            <v>3517287174.98</v>
          </cell>
          <cell r="D23">
            <v>-5574199.2699999996</v>
          </cell>
          <cell r="E23">
            <v>38292885.649999999</v>
          </cell>
        </row>
        <row r="24">
          <cell r="A24" t="str">
            <v>FNBA</v>
          </cell>
          <cell r="B24">
            <v>0</v>
          </cell>
          <cell r="C24">
            <v>42524.62</v>
          </cell>
          <cell r="D24">
            <v>0</v>
          </cell>
          <cell r="E24">
            <v>0</v>
          </cell>
        </row>
        <row r="25">
          <cell r="A25" t="str">
            <v>Foreign Exchange Contracts Payable</v>
          </cell>
          <cell r="B25">
            <v>0</v>
          </cell>
          <cell r="C25">
            <v>0</v>
          </cell>
          <cell r="D25">
            <v>0</v>
          </cell>
          <cell r="E25">
            <v>0</v>
          </cell>
        </row>
        <row r="26">
          <cell r="A26" t="str">
            <v>Foreign Exchange Contracts Receivable</v>
          </cell>
          <cell r="B26">
            <v>0</v>
          </cell>
          <cell r="C26">
            <v>0</v>
          </cell>
          <cell r="D26">
            <v>0</v>
          </cell>
          <cell r="E26">
            <v>0</v>
          </cell>
        </row>
        <row r="27">
          <cell r="A27" t="str">
            <v>Futures UGL Recon Adj</v>
          </cell>
          <cell r="B27">
            <v>0</v>
          </cell>
          <cell r="C27">
            <v>0</v>
          </cell>
          <cell r="D27">
            <v>0</v>
          </cell>
          <cell r="E27">
            <v>0</v>
          </cell>
        </row>
        <row r="28">
          <cell r="A28" t="str">
            <v>Income distributable to the State of Alaska</v>
          </cell>
          <cell r="B28">
            <v>0</v>
          </cell>
          <cell r="C28">
            <v>857983435.38999999</v>
          </cell>
          <cell r="D28">
            <v>0</v>
          </cell>
          <cell r="E28">
            <v>0</v>
          </cell>
        </row>
        <row r="29">
          <cell r="A29" t="str">
            <v>Infrastructure bs</v>
          </cell>
          <cell r="B29">
            <v>0</v>
          </cell>
          <cell r="C29">
            <v>524412038.14999998</v>
          </cell>
          <cell r="D29">
            <v>0</v>
          </cell>
          <cell r="E29">
            <v>5560297.2800000003</v>
          </cell>
        </row>
        <row r="30">
          <cell r="A30" t="str">
            <v>Infrastructure is</v>
          </cell>
          <cell r="B30">
            <v>-37155637.68</v>
          </cell>
          <cell r="C30">
            <v>17734899.289999999</v>
          </cell>
          <cell r="D30">
            <v>-383305.32</v>
          </cell>
          <cell r="E30">
            <v>187028.08</v>
          </cell>
        </row>
        <row r="31">
          <cell r="A31" t="str">
            <v>Interest is</v>
          </cell>
          <cell r="B31">
            <v>21540198.859999999</v>
          </cell>
          <cell r="C31">
            <v>298170296.78000003</v>
          </cell>
          <cell r="D31">
            <v>222213.19</v>
          </cell>
          <cell r="E31">
            <v>3119869.23</v>
          </cell>
        </row>
        <row r="32">
          <cell r="A32" t="str">
            <v>Interest Receivable</v>
          </cell>
          <cell r="B32">
            <v>0</v>
          </cell>
          <cell r="C32">
            <v>66626073.979999997</v>
          </cell>
          <cell r="D32">
            <v>0</v>
          </cell>
          <cell r="E32">
            <v>735387.29</v>
          </cell>
        </row>
        <row r="33">
          <cell r="A33" t="str">
            <v>Legislative appropriations</v>
          </cell>
          <cell r="B33">
            <v>-369250</v>
          </cell>
          <cell r="C33">
            <v>-6712000</v>
          </cell>
          <cell r="D33">
            <v>0</v>
          </cell>
          <cell r="E33">
            <v>0</v>
          </cell>
        </row>
        <row r="34">
          <cell r="A34" t="str">
            <v>Marketable debt securities</v>
          </cell>
          <cell r="B34">
            <v>72658238.390000001</v>
          </cell>
          <cell r="C34">
            <v>517188138.69999999</v>
          </cell>
          <cell r="D34">
            <v>749557.55</v>
          </cell>
          <cell r="E34">
            <v>5504762.9800000004</v>
          </cell>
        </row>
        <row r="35">
          <cell r="A35" t="str">
            <v>Marketable debt securities bs</v>
          </cell>
          <cell r="B35">
            <v>0</v>
          </cell>
          <cell r="C35">
            <v>6347888601.3299999</v>
          </cell>
          <cell r="D35">
            <v>0</v>
          </cell>
          <cell r="E35">
            <v>66268159.549999997</v>
          </cell>
        </row>
        <row r="36">
          <cell r="A36" t="str">
            <v>MDS Cost</v>
          </cell>
          <cell r="B36">
            <v>0</v>
          </cell>
          <cell r="C36">
            <v>6084368844.9499998</v>
          </cell>
          <cell r="D36">
            <v>0</v>
          </cell>
          <cell r="E36">
            <v>67156402.290000007</v>
          </cell>
        </row>
        <row r="37">
          <cell r="A37" t="str">
            <v>Mezzanine Debt bs</v>
          </cell>
          <cell r="B37">
            <v>0</v>
          </cell>
          <cell r="C37">
            <v>13101700.59</v>
          </cell>
          <cell r="D37">
            <v>0</v>
          </cell>
          <cell r="E37">
            <v>144610.41</v>
          </cell>
        </row>
        <row r="38">
          <cell r="A38" t="str">
            <v>Net change in fund balances</v>
          </cell>
          <cell r="B38">
            <v>-1393436521.1099999</v>
          </cell>
          <cell r="C38">
            <v>3338741680.4899998</v>
          </cell>
          <cell r="D38">
            <v>-5574199.2699999996</v>
          </cell>
          <cell r="E38">
            <v>25477784.649999999</v>
          </cell>
        </row>
        <row r="39">
          <cell r="A39" t="str">
            <v>Operating Accrued Payables</v>
          </cell>
          <cell r="B39">
            <v>0</v>
          </cell>
          <cell r="C39">
            <v>21269207.32</v>
          </cell>
          <cell r="D39">
            <v>0</v>
          </cell>
          <cell r="E39">
            <v>234759.49</v>
          </cell>
        </row>
        <row r="40">
          <cell r="A40" t="str">
            <v>Operating expenditures</v>
          </cell>
          <cell r="B40">
            <v>-5491447.5499999998</v>
          </cell>
          <cell r="C40">
            <v>-69092492.390000001</v>
          </cell>
          <cell r="D40">
            <v>-56650.92</v>
          </cell>
          <cell r="E40">
            <v>-729829.31</v>
          </cell>
        </row>
        <row r="41">
          <cell r="A41" t="str">
            <v>Pending Purchase Equities</v>
          </cell>
          <cell r="B41">
            <v>0</v>
          </cell>
          <cell r="C41">
            <v>120997801.98999999</v>
          </cell>
          <cell r="D41">
            <v>0</v>
          </cell>
          <cell r="E41">
            <v>1335516.8400000001</v>
          </cell>
        </row>
        <row r="42">
          <cell r="A42" t="str">
            <v>Pending Purchase Fixed Income</v>
          </cell>
          <cell r="B42">
            <v>0</v>
          </cell>
          <cell r="C42">
            <v>198640224.71000001</v>
          </cell>
          <cell r="D42">
            <v>0</v>
          </cell>
          <cell r="E42">
            <v>2192497.4</v>
          </cell>
        </row>
        <row r="43">
          <cell r="A43" t="str">
            <v>Pending Purchase Real Estate</v>
          </cell>
          <cell r="B43">
            <v>0</v>
          </cell>
          <cell r="C43">
            <v>1066368.46</v>
          </cell>
          <cell r="D43">
            <v>0</v>
          </cell>
          <cell r="E43">
            <v>11770.07</v>
          </cell>
        </row>
        <row r="44">
          <cell r="A44" t="str">
            <v>Pending Sales Equities</v>
          </cell>
          <cell r="B44">
            <v>0</v>
          </cell>
          <cell r="C44">
            <v>74303932.5</v>
          </cell>
          <cell r="D44">
            <v>0</v>
          </cell>
          <cell r="E44">
            <v>820131.86</v>
          </cell>
        </row>
        <row r="45">
          <cell r="A45" t="str">
            <v>Pending Sales Fixed Income</v>
          </cell>
          <cell r="B45">
            <v>0</v>
          </cell>
          <cell r="C45">
            <v>66791454.939999998</v>
          </cell>
          <cell r="D45">
            <v>0</v>
          </cell>
          <cell r="E45">
            <v>737212.68</v>
          </cell>
        </row>
        <row r="46">
          <cell r="A46" t="str">
            <v>Pending Sales Real Estate</v>
          </cell>
          <cell r="B46">
            <v>0</v>
          </cell>
          <cell r="C46">
            <v>995852</v>
          </cell>
          <cell r="D46">
            <v>0</v>
          </cell>
          <cell r="E46">
            <v>10991.74</v>
          </cell>
        </row>
        <row r="47">
          <cell r="A47" t="str">
            <v>Period</v>
          </cell>
          <cell r="B47">
            <v>0</v>
          </cell>
          <cell r="C47">
            <v>12</v>
          </cell>
          <cell r="D47">
            <v>0</v>
          </cell>
          <cell r="E47">
            <v>12</v>
          </cell>
        </row>
        <row r="48">
          <cell r="A48" t="str">
            <v>Preferred and common stock</v>
          </cell>
          <cell r="B48">
            <v>-649600175.25999999</v>
          </cell>
          <cell r="C48">
            <v>1864848980.6400001</v>
          </cell>
          <cell r="D48">
            <v>-6701411.0499999998</v>
          </cell>
          <cell r="E48">
            <v>20684446.670000002</v>
          </cell>
        </row>
        <row r="49">
          <cell r="A49" t="str">
            <v>Preferred and common stock bs</v>
          </cell>
          <cell r="B49">
            <v>0</v>
          </cell>
          <cell r="C49">
            <v>16379187157.17</v>
          </cell>
          <cell r="D49">
            <v>0</v>
          </cell>
          <cell r="E49">
            <v>166150370.19999999</v>
          </cell>
        </row>
        <row r="50">
          <cell r="A50" t="str">
            <v>Prepaid and Other Receivables</v>
          </cell>
          <cell r="B50">
            <v>0</v>
          </cell>
          <cell r="C50">
            <v>0</v>
          </cell>
          <cell r="D50">
            <v>0</v>
          </cell>
          <cell r="E50">
            <v>0</v>
          </cell>
        </row>
        <row r="51">
          <cell r="A51" t="str">
            <v>Private Equity bs</v>
          </cell>
          <cell r="B51">
            <v>0</v>
          </cell>
          <cell r="C51">
            <v>1017919151.49</v>
          </cell>
          <cell r="D51">
            <v>0</v>
          </cell>
          <cell r="E51">
            <v>10419640.26</v>
          </cell>
        </row>
        <row r="52">
          <cell r="A52" t="str">
            <v>Private Equity is</v>
          </cell>
          <cell r="B52">
            <v>1047738.67</v>
          </cell>
          <cell r="C52">
            <v>161249001.09999999</v>
          </cell>
          <cell r="D52">
            <v>10808.69</v>
          </cell>
          <cell r="E52">
            <v>1704536.24</v>
          </cell>
        </row>
        <row r="53">
          <cell r="A53" t="str">
            <v>RE Cost</v>
          </cell>
          <cell r="B53">
            <v>0</v>
          </cell>
          <cell r="C53">
            <v>3138972491.0999999</v>
          </cell>
          <cell r="D53">
            <v>0</v>
          </cell>
          <cell r="E53">
            <v>34646502.350000001</v>
          </cell>
        </row>
        <row r="54">
          <cell r="A54" t="str">
            <v>Real estate</v>
          </cell>
          <cell r="B54">
            <v>22457065.030000001</v>
          </cell>
          <cell r="C54">
            <v>-166340685.22999999</v>
          </cell>
          <cell r="D54">
            <v>231671.78</v>
          </cell>
          <cell r="E54">
            <v>-1746503.41</v>
          </cell>
        </row>
        <row r="55">
          <cell r="A55" t="str">
            <v>Real estate and other income</v>
          </cell>
          <cell r="B55">
            <v>18783242.68</v>
          </cell>
          <cell r="C55">
            <v>151447335.16999999</v>
          </cell>
          <cell r="D55">
            <v>193771.85</v>
          </cell>
          <cell r="E55">
            <v>1644330.53</v>
          </cell>
        </row>
        <row r="56">
          <cell r="A56" t="str">
            <v>Real estate bs</v>
          </cell>
          <cell r="B56">
            <v>0</v>
          </cell>
          <cell r="C56">
            <v>3273363332.6100001</v>
          </cell>
          <cell r="D56">
            <v>0</v>
          </cell>
          <cell r="E56">
            <v>34526995.090000004</v>
          </cell>
        </row>
        <row r="57">
          <cell r="A57" t="str">
            <v>Real Return bs</v>
          </cell>
          <cell r="B57">
            <v>0</v>
          </cell>
          <cell r="C57">
            <v>2483299370.7600002</v>
          </cell>
          <cell r="D57">
            <v>0</v>
          </cell>
          <cell r="E57">
            <v>26208984.809999999</v>
          </cell>
        </row>
        <row r="58">
          <cell r="A58" t="str">
            <v>Real Return is</v>
          </cell>
          <cell r="B58">
            <v>3389436.04</v>
          </cell>
          <cell r="C58">
            <v>1220452</v>
          </cell>
          <cell r="D58">
            <v>34966.129999999997</v>
          </cell>
          <cell r="E58">
            <v>15431.9</v>
          </cell>
        </row>
        <row r="59">
          <cell r="A59" t="str">
            <v>Realized earnings</v>
          </cell>
          <cell r="B59">
            <v>0</v>
          </cell>
          <cell r="C59">
            <v>1193949268.3800001</v>
          </cell>
          <cell r="D59">
            <v>0</v>
          </cell>
          <cell r="E59">
            <v>27510101.059999999</v>
          </cell>
        </row>
        <row r="60">
          <cell r="A60" t="str">
            <v>Realized earnings ACIF Deficit</v>
          </cell>
          <cell r="B60">
            <v>0</v>
          </cell>
          <cell r="C60">
            <v>-12513296.449999999</v>
          </cell>
          <cell r="D60">
            <v>0</v>
          </cell>
          <cell r="E60">
            <v>0</v>
          </cell>
        </row>
        <row r="61">
          <cell r="A61" t="str">
            <v>Receivables and other assets</v>
          </cell>
          <cell r="B61">
            <v>0</v>
          </cell>
          <cell r="C61">
            <v>238962529.46000001</v>
          </cell>
          <cell r="D61">
            <v>0</v>
          </cell>
          <cell r="E61">
            <v>2629136.4500000002</v>
          </cell>
        </row>
        <row r="62">
          <cell r="A62" t="str">
            <v>Short-term Cost</v>
          </cell>
          <cell r="B62">
            <v>0</v>
          </cell>
          <cell r="C62">
            <v>1522476322.0599999</v>
          </cell>
          <cell r="D62">
            <v>0</v>
          </cell>
          <cell r="E62">
            <v>16804377.670000002</v>
          </cell>
        </row>
        <row r="63">
          <cell r="A63" t="str">
            <v>SNI Am Hess activity</v>
          </cell>
          <cell r="B63">
            <v>0</v>
          </cell>
          <cell r="C63">
            <v>0</v>
          </cell>
          <cell r="D63">
            <v>0</v>
          </cell>
          <cell r="E63">
            <v>0</v>
          </cell>
        </row>
        <row r="64">
          <cell r="A64" t="str">
            <v>SNI unrealized gain / loss activity</v>
          </cell>
          <cell r="B64">
            <v>703050362.37</v>
          </cell>
          <cell r="C64">
            <v>-1905964641.76</v>
          </cell>
          <cell r="D64">
            <v>7252814.3499999996</v>
          </cell>
          <cell r="E64">
            <v>-21331174.370000001</v>
          </cell>
        </row>
        <row r="65">
          <cell r="A65" t="str">
            <v>State Dedicated Revenues Receivable</v>
          </cell>
          <cell r="B65">
            <v>0</v>
          </cell>
          <cell r="C65">
            <v>762816.04</v>
          </cell>
          <cell r="D65">
            <v>0</v>
          </cell>
          <cell r="E65">
            <v>0</v>
          </cell>
        </row>
        <row r="66">
          <cell r="A66" t="str">
            <v>Statutory net income (loss)</v>
          </cell>
          <cell r="B66">
            <v>162347027.08000001</v>
          </cell>
          <cell r="C66">
            <v>1611322533.22</v>
          </cell>
          <cell r="D66">
            <v>1678615.08</v>
          </cell>
          <cell r="E66">
            <v>16961711.280000001</v>
          </cell>
        </row>
        <row r="67">
          <cell r="A67" t="str">
            <v>Total Assets</v>
          </cell>
          <cell r="B67">
            <v>0</v>
          </cell>
          <cell r="C67">
            <v>34454768016.790001</v>
          </cell>
          <cell r="D67">
            <v>0</v>
          </cell>
          <cell r="E67">
            <v>355082961.25999999</v>
          </cell>
        </row>
        <row r="68">
          <cell r="A68" t="str">
            <v>Total Cost</v>
          </cell>
          <cell r="B68">
            <v>0</v>
          </cell>
          <cell r="C68">
            <v>27310518828.290001</v>
          </cell>
          <cell r="D68">
            <v>0</v>
          </cell>
          <cell r="E68">
            <v>301440664.69999999</v>
          </cell>
        </row>
        <row r="69">
          <cell r="A69" t="str">
            <v>Total expenditures</v>
          </cell>
          <cell r="B69">
            <v>-5860697.5499999998</v>
          </cell>
          <cell r="C69">
            <v>-75804492.390000001</v>
          </cell>
          <cell r="D69">
            <v>-56650.92</v>
          </cell>
          <cell r="E69">
            <v>-729829.31</v>
          </cell>
        </row>
        <row r="70">
          <cell r="A70" t="str">
            <v>Total Fund Balances</v>
          </cell>
          <cell r="B70">
            <v>0</v>
          </cell>
          <cell r="C70">
            <v>33254810978.93</v>
          </cell>
          <cell r="D70">
            <v>0</v>
          </cell>
          <cell r="E70">
            <v>351308417.45999998</v>
          </cell>
        </row>
        <row r="71">
          <cell r="A71" t="str">
            <v>Total investments</v>
          </cell>
          <cell r="B71">
            <v>0</v>
          </cell>
          <cell r="C71">
            <v>26348402504.82</v>
          </cell>
          <cell r="D71">
            <v>0</v>
          </cell>
          <cell r="E71">
            <v>269541584.19999999</v>
          </cell>
        </row>
        <row r="72">
          <cell r="A72" t="str">
            <v>Total Liabilities</v>
          </cell>
          <cell r="B72">
            <v>0</v>
          </cell>
          <cell r="C72">
            <v>1199957037.8699999</v>
          </cell>
          <cell r="D72">
            <v>0</v>
          </cell>
          <cell r="E72">
            <v>3774543.8</v>
          </cell>
        </row>
        <row r="73">
          <cell r="A73" t="str">
            <v>Total Liabilities and Fund Balances</v>
          </cell>
          <cell r="B73">
            <v>0</v>
          </cell>
          <cell r="C73">
            <v>34454768016.800003</v>
          </cell>
          <cell r="D73">
            <v>0</v>
          </cell>
          <cell r="E73">
            <v>355082961.25999999</v>
          </cell>
        </row>
        <row r="74">
          <cell r="A74" t="str">
            <v>Total reserved</v>
          </cell>
          <cell r="B74">
            <v>0</v>
          </cell>
          <cell r="C74">
            <v>32044973674.650002</v>
          </cell>
          <cell r="D74">
            <v>0</v>
          </cell>
          <cell r="E74">
            <v>325306984.19999999</v>
          </cell>
        </row>
        <row r="75">
          <cell r="A75" t="str">
            <v>Total revenues</v>
          </cell>
          <cell r="B75">
            <v>-534842637.74000001</v>
          </cell>
          <cell r="C75">
            <v>3593091667.3699999</v>
          </cell>
          <cell r="D75">
            <v>-5517548.3499999996</v>
          </cell>
          <cell r="E75">
            <v>39022714.960000001</v>
          </cell>
        </row>
        <row r="76">
          <cell r="A76" t="str">
            <v>Transfers in</v>
          </cell>
          <cell r="B76">
            <v>5250249.57</v>
          </cell>
          <cell r="C76">
            <v>679437940.89999998</v>
          </cell>
          <cell r="D76">
            <v>0</v>
          </cell>
          <cell r="E76">
            <v>2613599</v>
          </cell>
        </row>
        <row r="77">
          <cell r="A77" t="str">
            <v>Transfers out</v>
          </cell>
          <cell r="B77">
            <v>-857983435.38999999</v>
          </cell>
          <cell r="C77">
            <v>-857983435.38999999</v>
          </cell>
          <cell r="D77">
            <v>0</v>
          </cell>
          <cell r="E77">
            <v>-15428700</v>
          </cell>
        </row>
        <row r="78">
          <cell r="A78" t="str">
            <v>Unrealized appreciation earnings reserve allocation</v>
          </cell>
          <cell r="B78">
            <v>0</v>
          </cell>
          <cell r="C78">
            <v>15888035.890000001</v>
          </cell>
          <cell r="D78">
            <v>0</v>
          </cell>
          <cell r="E78">
            <v>-1508667.8</v>
          </cell>
        </row>
        <row r="79">
          <cell r="A79" t="str">
            <v>Unrealized appreciation principal allocation</v>
          </cell>
          <cell r="B79">
            <v>0</v>
          </cell>
          <cell r="C79">
            <v>420836425.12</v>
          </cell>
          <cell r="D79">
            <v>0</v>
          </cell>
          <cell r="E79">
            <v>-18875119.960000001</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90">
          <cell r="C90">
            <v>0</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http://bea.gov/itable/iTable.cfm?ReqID=70&amp;step=1" TargetMode="Externa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110" Type="http://schemas.openxmlformats.org/officeDocument/2006/relationships/ctrlProp" Target="../ctrlProps/ctrlProp107.xml"/><Relationship Id="rId115" Type="http://schemas.openxmlformats.org/officeDocument/2006/relationships/ctrlProp" Target="../ctrlProps/ctrlProp112.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omments" Target="../comments1.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live.laborstats.alaska.gov/occfcst/index.cf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trlProp" Target="../ctrlProps/ctrlProp115.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7" Type="http://schemas.openxmlformats.org/officeDocument/2006/relationships/comments" Target="../comments3.xml"/><Relationship Id="rId2" Type="http://schemas.openxmlformats.org/officeDocument/2006/relationships/printerSettings" Target="../printerSettings/printerSettings6.bin"/><Relationship Id="rId1" Type="http://schemas.openxmlformats.org/officeDocument/2006/relationships/hyperlink" Target="../../woperry/AppData/Local/Microsoft/Windows/Data/Tax/research/IDrive-2.1/AppData/Local/Microsoft/Windows/Temporary%20Internet%20Files/dwherbert/AppData/Local/Microsoft/Windows/Temporary%20Internet%20Files/Content.Outlook/AppData/Local/Microsoft/Windows/Temporary%20Internet%20Files/Content.Outlook/AppData/Local/Microsoft/Windows/Temporary%20Internet%20Files/woperry/AppData/Local/Microsoft/Windows/Temporary%20Internet%20Files/Content.Outlook/AppData/Local/Microsoft/Windows/Temporary%20Internet%20Files/Content.Outlook/AppData/Roaming/dwherbert/AppData/Local/Microsoft/Windows/Temporary%20Internet%20Files/Data/Tax/research/IDrive-2.1/AppData/Documents%20and%20Settings/kbuckland/Forecasting%20Models/Revenue%20Model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21"/>
  <sheetViews>
    <sheetView tabSelected="1" workbookViewId="0">
      <selection activeCell="A25" sqref="A25"/>
    </sheetView>
  </sheetViews>
  <sheetFormatPr defaultRowHeight="15"/>
  <cols>
    <col min="1" max="1" width="19.5703125" bestFit="1" customWidth="1"/>
  </cols>
  <sheetData>
    <row r="1" spans="1:9" ht="18">
      <c r="A1" s="1141" t="s">
        <v>951</v>
      </c>
      <c r="B1" s="1142" t="s">
        <v>956</v>
      </c>
      <c r="C1" s="1142"/>
      <c r="D1" s="1142"/>
      <c r="E1" s="1140"/>
      <c r="F1" s="1140"/>
      <c r="G1" s="1140"/>
      <c r="H1" s="1140"/>
      <c r="I1" s="1140"/>
    </row>
    <row r="2" spans="1:9">
      <c r="A2" s="1143"/>
      <c r="B2" s="1140"/>
      <c r="C2" s="1140"/>
      <c r="D2" s="1140"/>
      <c r="E2" s="1140"/>
      <c r="F2" s="1140"/>
      <c r="G2" s="1140"/>
      <c r="H2" s="1140"/>
      <c r="I2" s="1140"/>
    </row>
    <row r="3" spans="1:9">
      <c r="A3" s="1144" t="s">
        <v>955</v>
      </c>
      <c r="B3" s="1140" t="s">
        <v>957</v>
      </c>
      <c r="C3" s="1140"/>
      <c r="D3" s="1140"/>
      <c r="E3" s="1140"/>
      <c r="F3" s="1140"/>
      <c r="G3" s="1140"/>
      <c r="H3" s="1140"/>
      <c r="I3" s="1140"/>
    </row>
    <row r="4" spans="1:9">
      <c r="A4" s="1144"/>
      <c r="B4" s="1140" t="s">
        <v>958</v>
      </c>
      <c r="C4" s="1140"/>
      <c r="D4" s="1140"/>
      <c r="E4" s="1140"/>
      <c r="F4" s="1140"/>
      <c r="G4" s="1140"/>
      <c r="H4" s="1140"/>
      <c r="I4" s="1140"/>
    </row>
    <row r="5" spans="1:9" s="1140" customFormat="1">
      <c r="A5" s="1144"/>
      <c r="B5" s="1140" t="s">
        <v>959</v>
      </c>
    </row>
    <row r="6" spans="1:9" s="1140" customFormat="1">
      <c r="A6" s="1144"/>
    </row>
    <row r="7" spans="1:9">
      <c r="A7" s="1144" t="s">
        <v>952</v>
      </c>
      <c r="B7" s="1149" t="s">
        <v>960</v>
      </c>
      <c r="C7" s="1149"/>
      <c r="D7" s="1149"/>
      <c r="E7" s="1149"/>
      <c r="F7" s="1149"/>
      <c r="G7" s="1149"/>
      <c r="H7" s="1149"/>
      <c r="I7" s="1149"/>
    </row>
    <row r="8" spans="1:9">
      <c r="A8" s="1143"/>
      <c r="B8" s="1149"/>
      <c r="C8" s="1149"/>
      <c r="D8" s="1149"/>
      <c r="E8" s="1149"/>
      <c r="F8" s="1149"/>
      <c r="G8" s="1149"/>
      <c r="H8" s="1149"/>
      <c r="I8" s="1149"/>
    </row>
    <row r="9" spans="1:9">
      <c r="A9" s="1143"/>
      <c r="B9" s="1149"/>
      <c r="C9" s="1149"/>
      <c r="D9" s="1149"/>
      <c r="E9" s="1149"/>
      <c r="F9" s="1149"/>
      <c r="G9" s="1149"/>
      <c r="H9" s="1149"/>
      <c r="I9" s="1149"/>
    </row>
    <row r="10" spans="1:9" ht="15" customHeight="1">
      <c r="A10" s="1144" t="s">
        <v>953</v>
      </c>
      <c r="B10" s="1148" t="s">
        <v>954</v>
      </c>
      <c r="C10" s="1148"/>
      <c r="D10" s="1148"/>
      <c r="E10" s="1148"/>
      <c r="F10" s="1148"/>
      <c r="G10" s="1148"/>
      <c r="H10" s="1148"/>
      <c r="I10" s="1148"/>
    </row>
    <row r="11" spans="1:9">
      <c r="A11" s="1143"/>
      <c r="B11" s="1148"/>
      <c r="C11" s="1148"/>
      <c r="D11" s="1148"/>
      <c r="E11" s="1148"/>
      <c r="F11" s="1148"/>
      <c r="G11" s="1148"/>
      <c r="H11" s="1148"/>
      <c r="I11" s="1148"/>
    </row>
    <row r="12" spans="1:9">
      <c r="A12" s="1143"/>
      <c r="B12" s="1148"/>
      <c r="C12" s="1148"/>
      <c r="D12" s="1148"/>
      <c r="E12" s="1148"/>
      <c r="F12" s="1148"/>
      <c r="G12" s="1148"/>
      <c r="H12" s="1148"/>
      <c r="I12" s="1148"/>
    </row>
    <row r="13" spans="1:9">
      <c r="A13" s="1143"/>
      <c r="B13" s="1145"/>
      <c r="C13" s="1145"/>
      <c r="D13" s="1145"/>
      <c r="E13" s="1145"/>
      <c r="F13" s="1145"/>
      <c r="G13" s="1145"/>
      <c r="H13" s="1145"/>
      <c r="I13" s="1145"/>
    </row>
    <row r="14" spans="1:9" ht="15" customHeight="1">
      <c r="A14" s="1144"/>
      <c r="B14" s="1150" t="s">
        <v>961</v>
      </c>
      <c r="C14" s="1150"/>
      <c r="D14" s="1150"/>
      <c r="E14" s="1150"/>
      <c r="F14" s="1150"/>
      <c r="G14" s="1150"/>
      <c r="H14" s="1150"/>
      <c r="I14" s="1150"/>
    </row>
    <row r="15" spans="1:9">
      <c r="A15" s="1143"/>
      <c r="B15" s="1150"/>
      <c r="C15" s="1150"/>
      <c r="D15" s="1150"/>
      <c r="E15" s="1150"/>
      <c r="F15" s="1150"/>
      <c r="G15" s="1150"/>
      <c r="H15" s="1150"/>
      <c r="I15" s="1150"/>
    </row>
    <row r="16" spans="1:9">
      <c r="A16" s="1143"/>
      <c r="B16" s="1150"/>
      <c r="C16" s="1150"/>
      <c r="D16" s="1150"/>
      <c r="E16" s="1150"/>
      <c r="F16" s="1150"/>
      <c r="G16" s="1150"/>
      <c r="H16" s="1150"/>
      <c r="I16" s="1150"/>
    </row>
    <row r="17" spans="1:9">
      <c r="A17" s="1143"/>
      <c r="B17" s="1150"/>
      <c r="C17" s="1150"/>
      <c r="D17" s="1150"/>
      <c r="E17" s="1150"/>
      <c r="F17" s="1150"/>
      <c r="G17" s="1150"/>
      <c r="H17" s="1150"/>
      <c r="I17" s="1150"/>
    </row>
    <row r="18" spans="1:9">
      <c r="A18" s="1144"/>
    </row>
    <row r="19" spans="1:9">
      <c r="A19" s="1144" t="s">
        <v>962</v>
      </c>
      <c r="B19" s="1140" t="s">
        <v>963</v>
      </c>
    </row>
    <row r="20" spans="1:9">
      <c r="B20" s="1140" t="s">
        <v>964</v>
      </c>
    </row>
    <row r="21" spans="1:9">
      <c r="D21" s="1145"/>
    </row>
  </sheetData>
  <sheetProtection password="CC29" sheet="1" objects="1" scenarios="1" selectLockedCells="1" selectUnlockedCells="1"/>
  <mergeCells count="3">
    <mergeCell ref="B10:I12"/>
    <mergeCell ref="B7:I9"/>
    <mergeCell ref="B14:I1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P18"/>
  <sheetViews>
    <sheetView workbookViewId="0">
      <selection activeCell="B6" sqref="B6:S6"/>
    </sheetView>
  </sheetViews>
  <sheetFormatPr defaultRowHeight="15"/>
  <cols>
    <col min="1" max="1" width="10.85546875" customWidth="1"/>
    <col min="3" max="3" width="9.5703125" bestFit="1" customWidth="1"/>
  </cols>
  <sheetData>
    <row r="2" spans="1:16">
      <c r="A2">
        <f>'All Rev &amp; Projects'!A228</f>
        <v>5</v>
      </c>
      <c r="B2">
        <f ca="1">OFFSET(B5,$A$2,0)</f>
        <v>175</v>
      </c>
      <c r="C2">
        <f ca="1">OFFSET(C5,$A$2,0)</f>
        <v>160</v>
      </c>
      <c r="D2">
        <f t="shared" ref="D2:P2" ca="1" si="0">OFFSET(D5,$A$2,0)</f>
        <v>145</v>
      </c>
      <c r="E2">
        <f t="shared" ca="1" si="0"/>
        <v>125</v>
      </c>
      <c r="F2">
        <f t="shared" ca="1" si="0"/>
        <v>105</v>
      </c>
      <c r="G2">
        <f t="shared" ca="1" si="0"/>
        <v>95</v>
      </c>
      <c r="H2">
        <f t="shared" ca="1" si="0"/>
        <v>80</v>
      </c>
      <c r="I2">
        <f t="shared" ca="1" si="0"/>
        <v>70</v>
      </c>
      <c r="J2">
        <f t="shared" ca="1" si="0"/>
        <v>65</v>
      </c>
      <c r="K2">
        <f t="shared" ca="1" si="0"/>
        <v>60</v>
      </c>
      <c r="L2">
        <f t="shared" ca="1" si="0"/>
        <v>55</v>
      </c>
      <c r="M2">
        <f t="shared" ca="1" si="0"/>
        <v>50</v>
      </c>
      <c r="N2">
        <f t="shared" ca="1" si="0"/>
        <v>45</v>
      </c>
      <c r="O2">
        <f t="shared" ca="1" si="0"/>
        <v>40</v>
      </c>
      <c r="P2">
        <f t="shared" ca="1" si="0"/>
        <v>35</v>
      </c>
    </row>
    <row r="5" spans="1:16">
      <c r="B5" s="31" t="s">
        <v>2</v>
      </c>
      <c r="C5" s="31" t="s">
        <v>3</v>
      </c>
      <c r="D5" s="31" t="s">
        <v>4</v>
      </c>
      <c r="E5" s="31" t="s">
        <v>5</v>
      </c>
      <c r="F5" s="31" t="s">
        <v>6</v>
      </c>
      <c r="G5" s="31" t="s">
        <v>7</v>
      </c>
      <c r="H5" s="31" t="s">
        <v>8</v>
      </c>
      <c r="I5" s="31" t="s">
        <v>9</v>
      </c>
      <c r="J5" s="31" t="s">
        <v>21</v>
      </c>
      <c r="K5" s="31" t="s">
        <v>35</v>
      </c>
      <c r="L5" s="31" t="s">
        <v>36</v>
      </c>
      <c r="M5" s="31" t="s">
        <v>37</v>
      </c>
      <c r="N5" s="31" t="s">
        <v>38</v>
      </c>
      <c r="O5" s="31" t="s">
        <v>39</v>
      </c>
      <c r="P5" s="31" t="s">
        <v>40</v>
      </c>
    </row>
    <row r="6" spans="1:16">
      <c r="A6" t="s">
        <v>512</v>
      </c>
      <c r="B6" s="12">
        <v>165</v>
      </c>
      <c r="C6" s="12">
        <v>200</v>
      </c>
      <c r="D6" s="12">
        <v>185</v>
      </c>
      <c r="E6" s="12">
        <v>170</v>
      </c>
      <c r="F6" s="12">
        <v>165</v>
      </c>
      <c r="G6" s="12">
        <v>150</v>
      </c>
      <c r="H6" s="12">
        <v>135</v>
      </c>
      <c r="I6" s="12">
        <v>125</v>
      </c>
      <c r="J6" s="12">
        <v>115</v>
      </c>
      <c r="K6" s="12">
        <v>105</v>
      </c>
      <c r="L6" s="12">
        <v>100</v>
      </c>
      <c r="M6" s="12">
        <v>90</v>
      </c>
      <c r="N6" s="12">
        <v>85</v>
      </c>
      <c r="O6" s="12">
        <v>80</v>
      </c>
      <c r="P6" s="12">
        <v>75</v>
      </c>
    </row>
    <row r="7" spans="1:16">
      <c r="A7" s="419">
        <v>40</v>
      </c>
      <c r="B7" s="12">
        <v>100</v>
      </c>
      <c r="C7" s="12">
        <v>90</v>
      </c>
      <c r="D7" s="12">
        <v>85</v>
      </c>
      <c r="E7" s="12">
        <v>70</v>
      </c>
      <c r="F7" s="12">
        <v>60</v>
      </c>
      <c r="G7" s="12">
        <v>55</v>
      </c>
      <c r="H7" s="12">
        <v>45</v>
      </c>
      <c r="I7" s="12">
        <v>40</v>
      </c>
      <c r="J7" s="12">
        <v>35</v>
      </c>
      <c r="K7" s="12">
        <v>35</v>
      </c>
      <c r="L7" s="12">
        <v>30</v>
      </c>
      <c r="M7" s="12">
        <v>25</v>
      </c>
      <c r="N7" s="12">
        <v>25</v>
      </c>
      <c r="O7" s="12">
        <v>25</v>
      </c>
      <c r="P7" s="12">
        <v>20</v>
      </c>
    </row>
    <row r="8" spans="1:16">
      <c r="A8" s="419">
        <v>50</v>
      </c>
      <c r="B8" s="12">
        <v>125</v>
      </c>
      <c r="C8" s="12">
        <v>115</v>
      </c>
      <c r="D8" s="12">
        <v>105</v>
      </c>
      <c r="E8" s="12">
        <v>90</v>
      </c>
      <c r="F8" s="12">
        <v>75</v>
      </c>
      <c r="G8" s="12">
        <v>65</v>
      </c>
      <c r="H8" s="12">
        <v>60</v>
      </c>
      <c r="I8" s="12">
        <v>50</v>
      </c>
      <c r="J8" s="12">
        <v>45</v>
      </c>
      <c r="K8" s="12">
        <v>40</v>
      </c>
      <c r="L8" s="12">
        <v>40</v>
      </c>
      <c r="M8" s="12">
        <v>35</v>
      </c>
      <c r="N8" s="12">
        <v>30</v>
      </c>
      <c r="O8" s="12">
        <v>30</v>
      </c>
      <c r="P8" s="12">
        <v>25</v>
      </c>
    </row>
    <row r="9" spans="1:16">
      <c r="A9" s="419">
        <v>60</v>
      </c>
      <c r="B9" s="12">
        <v>150</v>
      </c>
      <c r="C9" s="12">
        <v>140</v>
      </c>
      <c r="D9" s="12">
        <v>125</v>
      </c>
      <c r="E9" s="12">
        <v>105</v>
      </c>
      <c r="F9" s="12">
        <v>90</v>
      </c>
      <c r="G9" s="12">
        <v>80</v>
      </c>
      <c r="H9" s="12">
        <v>70</v>
      </c>
      <c r="I9" s="12">
        <v>60</v>
      </c>
      <c r="J9" s="12">
        <v>55</v>
      </c>
      <c r="K9" s="12">
        <v>50</v>
      </c>
      <c r="L9" s="12">
        <v>45</v>
      </c>
      <c r="M9" s="12">
        <v>40</v>
      </c>
      <c r="N9" s="12">
        <v>40</v>
      </c>
      <c r="O9" s="12">
        <v>35</v>
      </c>
      <c r="P9" s="12">
        <v>30</v>
      </c>
    </row>
    <row r="10" spans="1:16">
      <c r="A10" s="419">
        <v>70</v>
      </c>
      <c r="B10" s="12">
        <v>175</v>
      </c>
      <c r="C10" s="12">
        <v>160</v>
      </c>
      <c r="D10" s="12">
        <v>145</v>
      </c>
      <c r="E10" s="12">
        <v>125</v>
      </c>
      <c r="F10" s="12">
        <v>105</v>
      </c>
      <c r="G10" s="12">
        <v>95</v>
      </c>
      <c r="H10" s="12">
        <v>80</v>
      </c>
      <c r="I10" s="12">
        <v>70</v>
      </c>
      <c r="J10" s="12">
        <v>65</v>
      </c>
      <c r="K10" s="12">
        <v>60</v>
      </c>
      <c r="L10" s="12">
        <v>55</v>
      </c>
      <c r="M10" s="12">
        <v>50</v>
      </c>
      <c r="N10" s="12">
        <v>45</v>
      </c>
      <c r="O10" s="12">
        <v>40</v>
      </c>
      <c r="P10" s="12">
        <v>35</v>
      </c>
    </row>
    <row r="11" spans="1:16">
      <c r="A11" s="419">
        <v>80</v>
      </c>
      <c r="B11" s="12">
        <v>200</v>
      </c>
      <c r="C11" s="12">
        <v>185</v>
      </c>
      <c r="D11" s="12">
        <v>165</v>
      </c>
      <c r="E11" s="12">
        <v>140</v>
      </c>
      <c r="F11" s="12">
        <v>120</v>
      </c>
      <c r="G11" s="12">
        <v>105</v>
      </c>
      <c r="H11" s="12">
        <v>95</v>
      </c>
      <c r="I11" s="12">
        <v>85</v>
      </c>
      <c r="J11" s="12">
        <v>75</v>
      </c>
      <c r="K11" s="12">
        <v>65</v>
      </c>
      <c r="L11" s="12">
        <v>60</v>
      </c>
      <c r="M11" s="12">
        <v>55</v>
      </c>
      <c r="N11" s="12">
        <v>50</v>
      </c>
      <c r="O11" s="12">
        <v>45</v>
      </c>
      <c r="P11" s="12">
        <v>40</v>
      </c>
    </row>
    <row r="12" spans="1:16">
      <c r="A12" s="419">
        <v>90</v>
      </c>
      <c r="B12" s="12">
        <v>225</v>
      </c>
      <c r="C12" s="12">
        <v>210</v>
      </c>
      <c r="D12" s="12">
        <v>185</v>
      </c>
      <c r="E12" s="12">
        <v>160</v>
      </c>
      <c r="F12" s="12">
        <v>135</v>
      </c>
      <c r="G12" s="12">
        <v>120</v>
      </c>
      <c r="H12" s="12">
        <v>105</v>
      </c>
      <c r="I12" s="12">
        <v>95</v>
      </c>
      <c r="J12" s="12">
        <v>85</v>
      </c>
      <c r="K12" s="12">
        <v>75</v>
      </c>
      <c r="L12" s="12">
        <v>70</v>
      </c>
      <c r="M12" s="12">
        <v>60</v>
      </c>
      <c r="N12" s="12">
        <v>55</v>
      </c>
      <c r="O12" s="12">
        <v>50</v>
      </c>
      <c r="P12" s="12">
        <v>50</v>
      </c>
    </row>
    <row r="13" spans="1:16">
      <c r="A13" s="419">
        <v>100</v>
      </c>
      <c r="B13" s="12">
        <v>250</v>
      </c>
      <c r="C13" s="12">
        <v>230</v>
      </c>
      <c r="D13" s="12">
        <v>205</v>
      </c>
      <c r="E13" s="12">
        <v>175</v>
      </c>
      <c r="F13" s="12">
        <v>150</v>
      </c>
      <c r="G13" s="12">
        <v>130</v>
      </c>
      <c r="H13" s="12">
        <v>115</v>
      </c>
      <c r="I13" s="12">
        <v>105</v>
      </c>
      <c r="J13" s="12">
        <v>95</v>
      </c>
      <c r="K13" s="12">
        <v>85</v>
      </c>
      <c r="L13" s="12">
        <v>75</v>
      </c>
      <c r="M13" s="12">
        <v>70</v>
      </c>
      <c r="N13" s="12">
        <v>65</v>
      </c>
      <c r="O13" s="12">
        <v>60</v>
      </c>
      <c r="P13" s="12">
        <v>55</v>
      </c>
    </row>
    <row r="14" spans="1:16">
      <c r="A14" s="419">
        <v>110</v>
      </c>
      <c r="B14" s="12">
        <v>275</v>
      </c>
      <c r="C14" s="12">
        <v>255</v>
      </c>
      <c r="D14" s="12">
        <v>225</v>
      </c>
      <c r="E14" s="12">
        <v>195</v>
      </c>
      <c r="F14" s="12">
        <v>165</v>
      </c>
      <c r="G14" s="12">
        <v>145</v>
      </c>
      <c r="H14" s="12">
        <v>130</v>
      </c>
      <c r="I14" s="12">
        <v>115</v>
      </c>
      <c r="J14" s="12">
        <v>100</v>
      </c>
      <c r="K14" s="12">
        <v>90</v>
      </c>
      <c r="L14" s="12">
        <v>85</v>
      </c>
      <c r="M14" s="12">
        <v>75</v>
      </c>
      <c r="N14" s="12">
        <v>70</v>
      </c>
      <c r="O14" s="12">
        <v>65</v>
      </c>
      <c r="P14" s="12">
        <v>60</v>
      </c>
    </row>
    <row r="15" spans="1:16">
      <c r="A15" s="419">
        <v>120</v>
      </c>
      <c r="B15" s="12">
        <v>300</v>
      </c>
      <c r="C15" s="12">
        <v>275</v>
      </c>
      <c r="D15" s="12">
        <v>250</v>
      </c>
      <c r="E15" s="12">
        <v>210</v>
      </c>
      <c r="F15" s="12">
        <v>180</v>
      </c>
      <c r="G15" s="12">
        <v>160</v>
      </c>
      <c r="H15" s="12">
        <v>140</v>
      </c>
      <c r="I15" s="12">
        <v>125</v>
      </c>
      <c r="J15" s="12">
        <v>110</v>
      </c>
      <c r="K15" s="12">
        <v>100</v>
      </c>
      <c r="L15" s="12">
        <v>90</v>
      </c>
      <c r="M15" s="12">
        <v>80</v>
      </c>
      <c r="N15" s="12">
        <v>75</v>
      </c>
      <c r="O15" s="12">
        <v>70</v>
      </c>
      <c r="P15" s="12">
        <v>65</v>
      </c>
    </row>
    <row r="16" spans="1:16">
      <c r="A16" s="419">
        <v>130</v>
      </c>
      <c r="B16" s="12">
        <v>325</v>
      </c>
      <c r="C16" s="12">
        <v>300</v>
      </c>
      <c r="D16" s="12">
        <v>270</v>
      </c>
      <c r="E16" s="12">
        <v>230</v>
      </c>
      <c r="F16" s="12">
        <v>195</v>
      </c>
      <c r="G16" s="12">
        <v>170</v>
      </c>
      <c r="H16" s="12">
        <v>150</v>
      </c>
      <c r="I16" s="12">
        <v>135</v>
      </c>
      <c r="J16" s="12">
        <v>120</v>
      </c>
      <c r="K16" s="12">
        <v>110</v>
      </c>
      <c r="L16" s="12">
        <v>100</v>
      </c>
      <c r="M16" s="12">
        <v>90</v>
      </c>
      <c r="N16" s="12">
        <v>80</v>
      </c>
      <c r="O16" s="12">
        <v>75</v>
      </c>
      <c r="P16" s="12">
        <v>70</v>
      </c>
    </row>
    <row r="17" spans="1:16">
      <c r="A17" s="419">
        <v>140</v>
      </c>
      <c r="B17" s="12">
        <v>350</v>
      </c>
      <c r="C17" s="12">
        <v>325</v>
      </c>
      <c r="D17" s="12">
        <v>290</v>
      </c>
      <c r="E17" s="12">
        <v>245</v>
      </c>
      <c r="F17" s="12">
        <v>210</v>
      </c>
      <c r="G17" s="12">
        <v>185</v>
      </c>
      <c r="H17" s="12">
        <v>165</v>
      </c>
      <c r="I17" s="12">
        <v>145</v>
      </c>
      <c r="J17" s="12">
        <v>130</v>
      </c>
      <c r="K17" s="12">
        <v>115</v>
      </c>
      <c r="L17" s="12">
        <v>105</v>
      </c>
      <c r="M17" s="12">
        <v>95</v>
      </c>
      <c r="N17" s="12">
        <v>90</v>
      </c>
      <c r="O17" s="12">
        <v>80</v>
      </c>
      <c r="P17" s="12">
        <v>75</v>
      </c>
    </row>
    <row r="18" spans="1:16">
      <c r="C18" s="316"/>
    </row>
  </sheetData>
  <sheetProtection password="CC29"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00"/>
  <sheetViews>
    <sheetView workbookViewId="0">
      <selection activeCell="B6" sqref="B6:S6"/>
    </sheetView>
  </sheetViews>
  <sheetFormatPr defaultRowHeight="15"/>
  <cols>
    <col min="1" max="1" width="18.42578125" customWidth="1"/>
    <col min="2" max="7" width="9.7109375" bestFit="1" customWidth="1"/>
    <col min="8" max="8" width="9.5703125" customWidth="1"/>
    <col min="9" max="11" width="9.7109375" bestFit="1" customWidth="1"/>
  </cols>
  <sheetData>
    <row r="1" spans="1:16">
      <c r="B1">
        <v>2016</v>
      </c>
      <c r="C1">
        <f>B1+1</f>
        <v>2017</v>
      </c>
      <c r="D1">
        <f t="shared" ref="D1:K1" si="0">C1+1</f>
        <v>2018</v>
      </c>
      <c r="E1">
        <f t="shared" si="0"/>
        <v>2019</v>
      </c>
      <c r="F1">
        <f t="shared" si="0"/>
        <v>2020</v>
      </c>
      <c r="G1">
        <f t="shared" si="0"/>
        <v>2021</v>
      </c>
      <c r="H1">
        <f t="shared" si="0"/>
        <v>2022</v>
      </c>
      <c r="I1">
        <f t="shared" si="0"/>
        <v>2023</v>
      </c>
      <c r="J1">
        <f t="shared" si="0"/>
        <v>2024</v>
      </c>
      <c r="K1">
        <f t="shared" si="0"/>
        <v>2025</v>
      </c>
      <c r="L1">
        <f>K1+1</f>
        <v>2026</v>
      </c>
      <c r="M1">
        <f>L1+1</f>
        <v>2027</v>
      </c>
      <c r="N1">
        <f>M1+1</f>
        <v>2028</v>
      </c>
      <c r="O1">
        <f>N1+1</f>
        <v>2029</v>
      </c>
      <c r="P1">
        <f>O1+1</f>
        <v>2030</v>
      </c>
    </row>
    <row r="2" spans="1:16">
      <c r="B2">
        <f ca="1">IF('All Rev &amp; Projects'!$A$37&gt;8,OFFSET(B8,15*('All Rev &amp; Projects'!$A$37-9)+'All Rev &amp; Projects'!$A$228,0)-OFFSET(B8,15*('All Rev &amp; Projects'!$A$37-9)+1,0),0)</f>
        <v>0</v>
      </c>
      <c r="C2">
        <f ca="1">IF('All Rev &amp; Projects'!$A$37&gt;8,OFFSET(C8,15*('All Rev &amp; Projects'!$A$37-9)+'All Rev &amp; Projects'!$A$228,0)-OFFSET(C8,15*('All Rev &amp; Projects'!$A$37-9)+1,0),0)</f>
        <v>0</v>
      </c>
      <c r="D2">
        <f ca="1">IF('All Rev &amp; Projects'!$A$37&gt;8,OFFSET(D8,15*('All Rev &amp; Projects'!$A$37-9)+'All Rev &amp; Projects'!$A$228,0)-OFFSET(D8,15*('All Rev &amp; Projects'!$A$37-9)+1,0),0)</f>
        <v>0</v>
      </c>
      <c r="E2">
        <f ca="1">IF('All Rev &amp; Projects'!$A$37&gt;8,OFFSET(E8,15*('All Rev &amp; Projects'!$A$37-9)+'All Rev &amp; Projects'!$A$228,0)-OFFSET(E8,15*('All Rev &amp; Projects'!$A$37-9)+1,0),0)</f>
        <v>0</v>
      </c>
      <c r="F2">
        <f ca="1">IF('All Rev &amp; Projects'!$A$37&gt;8,OFFSET(F8,15*('All Rev &amp; Projects'!$A$37-9)+'All Rev &amp; Projects'!$A$228,0)-OFFSET(F8,15*('All Rev &amp; Projects'!$A$37-9)+1,0),0)</f>
        <v>0</v>
      </c>
      <c r="G2">
        <f ca="1">IF('All Rev &amp; Projects'!$A$37&gt;8,OFFSET(G8,15*('All Rev &amp; Projects'!$A$37-9)+'All Rev &amp; Projects'!$A$228,0)-OFFSET(G8,15*('All Rev &amp; Projects'!$A$37-9)+1,0),0)</f>
        <v>0</v>
      </c>
      <c r="H2">
        <f ca="1">IF('All Rev &amp; Projects'!$A$37&gt;8,OFFSET(H8,15*('All Rev &amp; Projects'!$A$37-9)+'All Rev &amp; Projects'!$A$228,0)-OFFSET(H8,15*('All Rev &amp; Projects'!$A$37-9)+1,0),0)</f>
        <v>0</v>
      </c>
      <c r="I2">
        <f ca="1">IF('All Rev &amp; Projects'!$A$37&gt;8,OFFSET(I8,15*('All Rev &amp; Projects'!$A$37-9)+'All Rev &amp; Projects'!$A$228,0)-OFFSET(I8,15*('All Rev &amp; Projects'!$A$37-9)+1,0),0)</f>
        <v>0</v>
      </c>
      <c r="J2">
        <f ca="1">IF('All Rev &amp; Projects'!$A$37&gt;8,OFFSET(J8,15*('All Rev &amp; Projects'!$A$37-9)+'All Rev &amp; Projects'!$A$228,0)-OFFSET(J8,15*('All Rev &amp; Projects'!$A$37-9)+1,0),0)</f>
        <v>0</v>
      </c>
      <c r="K2">
        <f ca="1">IF('All Rev &amp; Projects'!$A$37&gt;8,OFFSET(K8,15*('All Rev &amp; Projects'!$A$37-9)+'All Rev &amp; Projects'!$A$228,0)-OFFSET(K8,15*('All Rev &amp; Projects'!$A$37-9)+1,0),0)</f>
        <v>0</v>
      </c>
      <c r="L2">
        <f ca="1">IF('All Rev &amp; Projects'!$A$37&gt;8,OFFSET(L8,15*('All Rev &amp; Projects'!$A$37-9)+'All Rev &amp; Projects'!$A$228,0)-OFFSET(L8,15*('All Rev &amp; Projects'!$A$37-9)+1,0),0)</f>
        <v>0</v>
      </c>
      <c r="M2">
        <f ca="1">IF('All Rev &amp; Projects'!$A$37&gt;8,OFFSET(M8,15*('All Rev &amp; Projects'!$A$37-9)+'All Rev &amp; Projects'!$A$228,0)-OFFSET(M8,15*('All Rev &amp; Projects'!$A$37-9)+1,0),0)</f>
        <v>0</v>
      </c>
      <c r="N2">
        <f ca="1">IF('All Rev &amp; Projects'!$A$37&gt;8,OFFSET(N8,15*('All Rev &amp; Projects'!$A$37-9)+'All Rev &amp; Projects'!$A$228,0)-OFFSET(N8,15*('All Rev &amp; Projects'!$A$37-9)+1,0),0)</f>
        <v>0</v>
      </c>
      <c r="O2">
        <f ca="1">IF('All Rev &amp; Projects'!$A$37&gt;8,OFFSET(O8,15*('All Rev &amp; Projects'!$A$37-9)+'All Rev &amp; Projects'!$A$228,0)-OFFSET(O8,15*('All Rev &amp; Projects'!$A$37-9)+1,0),0)</f>
        <v>0</v>
      </c>
      <c r="P2">
        <f ca="1">IF('All Rev &amp; Projects'!$A$37&gt;8,OFFSET(P8,15*('All Rev &amp; Projects'!$A$37-9)+'All Rev &amp; Projects'!$A$228,0)-OFFSET(P8,15*('All Rev &amp; Projects'!$A$37-9)+1,0),0)</f>
        <v>0</v>
      </c>
    </row>
    <row r="4" spans="1:16" ht="17.25" customHeight="1">
      <c r="A4" s="398" t="s">
        <v>508</v>
      </c>
    </row>
    <row r="5" spans="1:16">
      <c r="A5" t="s">
        <v>509</v>
      </c>
    </row>
    <row r="7" spans="1:16" ht="18.75">
      <c r="A7" s="398" t="s">
        <v>510</v>
      </c>
    </row>
    <row r="8" spans="1:16">
      <c r="A8" s="399" t="s">
        <v>511</v>
      </c>
      <c r="B8" s="400" t="s">
        <v>2</v>
      </c>
      <c r="C8" s="400" t="s">
        <v>3</v>
      </c>
      <c r="D8" s="400" t="s">
        <v>4</v>
      </c>
      <c r="E8" s="400" t="s">
        <v>5</v>
      </c>
      <c r="F8" s="400" t="s">
        <v>6</v>
      </c>
      <c r="G8" s="400" t="s">
        <v>7</v>
      </c>
      <c r="H8" s="400" t="s">
        <v>8</v>
      </c>
      <c r="I8" s="400" t="s">
        <v>9</v>
      </c>
      <c r="J8" s="400" t="s">
        <v>21</v>
      </c>
      <c r="K8" s="401" t="s">
        <v>35</v>
      </c>
      <c r="L8" s="401" t="s">
        <v>36</v>
      </c>
      <c r="M8" s="401" t="s">
        <v>37</v>
      </c>
      <c r="N8" s="401" t="s">
        <v>38</v>
      </c>
      <c r="O8" s="401" t="s">
        <v>39</v>
      </c>
      <c r="P8" s="401" t="s">
        <v>40</v>
      </c>
    </row>
    <row r="9" spans="1:16">
      <c r="A9" s="402" t="s">
        <v>512</v>
      </c>
      <c r="B9" s="403">
        <v>125</v>
      </c>
      <c r="C9" s="403">
        <v>300</v>
      </c>
      <c r="D9" s="403">
        <v>300</v>
      </c>
      <c r="E9" s="403">
        <v>340</v>
      </c>
      <c r="F9" s="403">
        <v>400</v>
      </c>
      <c r="G9" s="403">
        <v>365</v>
      </c>
      <c r="H9" s="403">
        <v>340</v>
      </c>
      <c r="I9" s="403">
        <v>335</v>
      </c>
      <c r="J9" s="404">
        <v>325</v>
      </c>
      <c r="K9" s="405">
        <v>295</v>
      </c>
      <c r="L9">
        <v>265</v>
      </c>
      <c r="M9">
        <v>245</v>
      </c>
      <c r="N9">
        <v>225</v>
      </c>
      <c r="O9">
        <v>205</v>
      </c>
      <c r="P9">
        <v>185</v>
      </c>
    </row>
    <row r="10" spans="1:16">
      <c r="A10" s="406">
        <v>40</v>
      </c>
      <c r="B10" s="407">
        <v>0</v>
      </c>
      <c r="C10" s="407">
        <v>0</v>
      </c>
      <c r="D10" s="407">
        <v>0</v>
      </c>
      <c r="E10" s="407">
        <v>0</v>
      </c>
      <c r="F10" s="407">
        <v>0</v>
      </c>
      <c r="G10" s="407">
        <v>0</v>
      </c>
      <c r="H10" s="407">
        <v>0</v>
      </c>
      <c r="I10" s="407">
        <v>0</v>
      </c>
      <c r="J10" s="407">
        <v>0</v>
      </c>
      <c r="K10" s="408">
        <v>0</v>
      </c>
      <c r="L10">
        <v>0</v>
      </c>
      <c r="M10">
        <v>0</v>
      </c>
      <c r="N10">
        <v>0</v>
      </c>
      <c r="O10">
        <v>0</v>
      </c>
      <c r="P10">
        <v>0</v>
      </c>
    </row>
    <row r="11" spans="1:16">
      <c r="A11" s="406">
        <v>50</v>
      </c>
      <c r="B11" s="407">
        <v>0</v>
      </c>
      <c r="C11" s="407">
        <v>0</v>
      </c>
      <c r="D11" s="407">
        <v>0</v>
      </c>
      <c r="E11" s="407">
        <v>0</v>
      </c>
      <c r="F11" s="407">
        <v>0</v>
      </c>
      <c r="G11" s="407">
        <v>0</v>
      </c>
      <c r="H11" s="407">
        <v>0</v>
      </c>
      <c r="I11" s="407">
        <v>0</v>
      </c>
      <c r="J11" s="407">
        <v>0</v>
      </c>
      <c r="K11" s="408">
        <v>0</v>
      </c>
      <c r="L11">
        <v>0</v>
      </c>
      <c r="M11">
        <v>0</v>
      </c>
      <c r="N11">
        <v>0</v>
      </c>
      <c r="O11">
        <v>0</v>
      </c>
      <c r="P11">
        <v>0</v>
      </c>
    </row>
    <row r="12" spans="1:16">
      <c r="A12" s="406">
        <v>60</v>
      </c>
      <c r="B12" s="407">
        <v>80</v>
      </c>
      <c r="C12" s="407">
        <v>90</v>
      </c>
      <c r="D12" s="407">
        <v>80</v>
      </c>
      <c r="E12" s="407">
        <v>70</v>
      </c>
      <c r="F12" s="407">
        <v>65</v>
      </c>
      <c r="G12" s="407">
        <v>40</v>
      </c>
      <c r="H12" s="407">
        <v>0</v>
      </c>
      <c r="I12" s="407">
        <v>0</v>
      </c>
      <c r="J12" s="407">
        <v>0</v>
      </c>
      <c r="K12" s="408">
        <v>0</v>
      </c>
      <c r="L12">
        <v>0</v>
      </c>
      <c r="M12">
        <v>0</v>
      </c>
      <c r="N12">
        <v>0</v>
      </c>
      <c r="O12">
        <v>0</v>
      </c>
      <c r="P12">
        <v>0</v>
      </c>
    </row>
    <row r="13" spans="1:16">
      <c r="A13" s="406">
        <v>70</v>
      </c>
      <c r="B13" s="407">
        <v>155</v>
      </c>
      <c r="C13" s="407">
        <v>170</v>
      </c>
      <c r="D13" s="407">
        <v>155</v>
      </c>
      <c r="E13" s="407">
        <v>140</v>
      </c>
      <c r="F13" s="407">
        <v>130</v>
      </c>
      <c r="G13" s="407">
        <v>100</v>
      </c>
      <c r="H13" s="407">
        <v>80</v>
      </c>
      <c r="I13" s="407">
        <v>70</v>
      </c>
      <c r="J13" s="407">
        <v>60</v>
      </c>
      <c r="K13" s="408">
        <v>45</v>
      </c>
      <c r="L13">
        <v>5</v>
      </c>
      <c r="M13">
        <v>0</v>
      </c>
      <c r="N13">
        <v>0</v>
      </c>
      <c r="O13">
        <v>0</v>
      </c>
      <c r="P13">
        <v>0</v>
      </c>
    </row>
    <row r="14" spans="1:16">
      <c r="A14" s="406">
        <v>80</v>
      </c>
      <c r="B14" s="407">
        <v>235</v>
      </c>
      <c r="C14" s="407">
        <v>250</v>
      </c>
      <c r="D14" s="407">
        <v>230</v>
      </c>
      <c r="E14" s="407">
        <v>215</v>
      </c>
      <c r="F14" s="407">
        <v>200</v>
      </c>
      <c r="G14" s="407">
        <v>160</v>
      </c>
      <c r="H14" s="407">
        <v>140</v>
      </c>
      <c r="I14" s="407">
        <v>125</v>
      </c>
      <c r="J14" s="407">
        <v>105</v>
      </c>
      <c r="K14" s="408">
        <v>90</v>
      </c>
      <c r="L14">
        <v>5</v>
      </c>
      <c r="M14">
        <v>0</v>
      </c>
      <c r="N14">
        <v>0</v>
      </c>
      <c r="O14">
        <v>0</v>
      </c>
      <c r="P14">
        <v>5</v>
      </c>
    </row>
    <row r="15" spans="1:16">
      <c r="A15" s="406">
        <v>90</v>
      </c>
      <c r="B15" s="407">
        <v>310</v>
      </c>
      <c r="C15" s="407">
        <v>330</v>
      </c>
      <c r="D15" s="407">
        <v>310</v>
      </c>
      <c r="E15" s="407">
        <v>285</v>
      </c>
      <c r="F15" s="407">
        <v>265</v>
      </c>
      <c r="G15" s="407">
        <v>225</v>
      </c>
      <c r="H15" s="407">
        <v>200</v>
      </c>
      <c r="I15" s="407">
        <v>180</v>
      </c>
      <c r="J15" s="407">
        <v>155</v>
      </c>
      <c r="K15" s="408">
        <v>135</v>
      </c>
      <c r="L15">
        <v>40</v>
      </c>
      <c r="M15">
        <v>35</v>
      </c>
      <c r="N15">
        <v>20</v>
      </c>
      <c r="O15">
        <v>0</v>
      </c>
      <c r="P15">
        <v>0</v>
      </c>
    </row>
    <row r="16" spans="1:16">
      <c r="A16" s="406">
        <v>100</v>
      </c>
      <c r="B16" s="407">
        <v>390</v>
      </c>
      <c r="C16" s="407">
        <v>410</v>
      </c>
      <c r="D16" s="407">
        <v>385</v>
      </c>
      <c r="E16" s="407">
        <v>355</v>
      </c>
      <c r="F16" s="407">
        <v>335</v>
      </c>
      <c r="G16" s="407">
        <v>285</v>
      </c>
      <c r="H16" s="407">
        <v>255</v>
      </c>
      <c r="I16" s="407">
        <v>230</v>
      </c>
      <c r="J16" s="407">
        <v>205</v>
      </c>
      <c r="K16" s="408">
        <v>175</v>
      </c>
      <c r="L16">
        <v>145</v>
      </c>
      <c r="M16">
        <v>125</v>
      </c>
      <c r="N16">
        <v>85</v>
      </c>
      <c r="O16">
        <v>30</v>
      </c>
      <c r="P16">
        <v>25</v>
      </c>
    </row>
    <row r="17" spans="1:16">
      <c r="A17" s="406">
        <v>110</v>
      </c>
      <c r="B17" s="407">
        <v>465</v>
      </c>
      <c r="C17" s="407">
        <v>490</v>
      </c>
      <c r="D17" s="407">
        <v>460</v>
      </c>
      <c r="E17" s="407">
        <v>430</v>
      </c>
      <c r="F17" s="407">
        <v>400</v>
      </c>
      <c r="G17" s="407">
        <v>350</v>
      </c>
      <c r="H17" s="407">
        <v>315</v>
      </c>
      <c r="I17" s="407">
        <v>285</v>
      </c>
      <c r="J17" s="407">
        <v>255</v>
      </c>
      <c r="K17" s="408">
        <v>220</v>
      </c>
      <c r="L17">
        <v>190</v>
      </c>
      <c r="M17">
        <v>160</v>
      </c>
      <c r="N17">
        <v>140</v>
      </c>
      <c r="O17">
        <v>115</v>
      </c>
      <c r="P17">
        <v>95</v>
      </c>
    </row>
    <row r="18" spans="1:16">
      <c r="A18" s="406">
        <v>120</v>
      </c>
      <c r="B18" s="407">
        <v>545</v>
      </c>
      <c r="C18" s="407">
        <v>570</v>
      </c>
      <c r="D18" s="407">
        <v>540</v>
      </c>
      <c r="E18" s="407">
        <v>500</v>
      </c>
      <c r="F18" s="407">
        <v>470</v>
      </c>
      <c r="G18" s="407">
        <v>415</v>
      </c>
      <c r="H18" s="407">
        <v>370</v>
      </c>
      <c r="I18" s="407">
        <v>340</v>
      </c>
      <c r="J18" s="407">
        <v>305</v>
      </c>
      <c r="K18" s="408">
        <v>265</v>
      </c>
      <c r="L18">
        <v>230</v>
      </c>
      <c r="M18">
        <v>200</v>
      </c>
      <c r="N18">
        <v>175</v>
      </c>
      <c r="O18">
        <v>150</v>
      </c>
      <c r="P18">
        <v>125</v>
      </c>
    </row>
    <row r="19" spans="1:16">
      <c r="A19" s="406">
        <v>130</v>
      </c>
      <c r="B19" s="407">
        <v>625</v>
      </c>
      <c r="C19" s="407">
        <v>650</v>
      </c>
      <c r="D19" s="407">
        <v>615</v>
      </c>
      <c r="E19" s="407">
        <v>575</v>
      </c>
      <c r="F19" s="407">
        <v>540</v>
      </c>
      <c r="G19" s="407">
        <v>475</v>
      </c>
      <c r="H19" s="407">
        <v>430</v>
      </c>
      <c r="I19" s="407">
        <v>395</v>
      </c>
      <c r="J19" s="407">
        <v>355</v>
      </c>
      <c r="K19" s="408">
        <v>310</v>
      </c>
      <c r="L19">
        <v>270</v>
      </c>
      <c r="M19">
        <v>235</v>
      </c>
      <c r="N19">
        <v>205</v>
      </c>
      <c r="O19">
        <v>180</v>
      </c>
      <c r="P19">
        <v>155</v>
      </c>
    </row>
    <row r="20" spans="1:16">
      <c r="A20" s="412">
        <v>140</v>
      </c>
      <c r="B20" s="413">
        <v>700</v>
      </c>
      <c r="C20" s="413">
        <v>730</v>
      </c>
      <c r="D20" s="413">
        <v>695</v>
      </c>
      <c r="E20" s="413">
        <v>645</v>
      </c>
      <c r="F20" s="413">
        <v>605</v>
      </c>
      <c r="G20" s="413">
        <v>540</v>
      </c>
      <c r="H20" s="413">
        <v>485</v>
      </c>
      <c r="I20" s="413">
        <v>445</v>
      </c>
      <c r="J20" s="413">
        <v>405</v>
      </c>
      <c r="K20" s="414">
        <v>355</v>
      </c>
      <c r="L20">
        <v>310</v>
      </c>
      <c r="M20">
        <v>270</v>
      </c>
      <c r="N20">
        <v>240</v>
      </c>
      <c r="O20">
        <v>210</v>
      </c>
      <c r="P20">
        <v>180</v>
      </c>
    </row>
    <row r="22" spans="1:16" ht="18.75">
      <c r="A22" s="398" t="s">
        <v>513</v>
      </c>
    </row>
    <row r="23" spans="1:16">
      <c r="A23" s="399" t="s">
        <v>511</v>
      </c>
      <c r="B23" s="400" t="s">
        <v>2</v>
      </c>
      <c r="C23" s="400" t="s">
        <v>3</v>
      </c>
      <c r="D23" s="400" t="s">
        <v>4</v>
      </c>
      <c r="E23" s="400" t="s">
        <v>5</v>
      </c>
      <c r="F23" s="400" t="s">
        <v>6</v>
      </c>
      <c r="G23" s="400" t="s">
        <v>7</v>
      </c>
      <c r="H23" s="400" t="s">
        <v>8</v>
      </c>
      <c r="I23" s="400" t="s">
        <v>9</v>
      </c>
      <c r="J23" s="400" t="s">
        <v>21</v>
      </c>
      <c r="K23" s="401" t="s">
        <v>35</v>
      </c>
      <c r="L23" s="401" t="s">
        <v>36</v>
      </c>
      <c r="M23" s="401" t="s">
        <v>37</v>
      </c>
      <c r="N23" s="401" t="s">
        <v>38</v>
      </c>
      <c r="O23" s="401" t="s">
        <v>39</v>
      </c>
      <c r="P23" s="401" t="s">
        <v>40</v>
      </c>
    </row>
    <row r="24" spans="1:16">
      <c r="A24" s="402" t="s">
        <v>512</v>
      </c>
      <c r="B24" s="403">
        <v>250</v>
      </c>
      <c r="C24" s="403">
        <v>605</v>
      </c>
      <c r="D24" s="403">
        <v>605</v>
      </c>
      <c r="E24" s="403">
        <v>675</v>
      </c>
      <c r="F24" s="403">
        <v>800</v>
      </c>
      <c r="G24" s="403">
        <v>730</v>
      </c>
      <c r="H24" s="403">
        <v>685</v>
      </c>
      <c r="I24" s="403">
        <v>675</v>
      </c>
      <c r="J24" s="404">
        <v>650</v>
      </c>
      <c r="K24" s="405">
        <v>590</v>
      </c>
      <c r="L24" s="889">
        <v>535</v>
      </c>
      <c r="M24">
        <v>485</v>
      </c>
      <c r="N24">
        <v>450</v>
      </c>
      <c r="O24">
        <v>410</v>
      </c>
      <c r="P24">
        <v>375</v>
      </c>
    </row>
    <row r="25" spans="1:16">
      <c r="A25" s="406">
        <v>40</v>
      </c>
      <c r="B25" s="407">
        <v>0</v>
      </c>
      <c r="C25" s="407">
        <v>0</v>
      </c>
      <c r="D25" s="407">
        <v>0</v>
      </c>
      <c r="E25" s="407">
        <v>0</v>
      </c>
      <c r="F25" s="407">
        <v>0</v>
      </c>
      <c r="G25" s="407">
        <v>0</v>
      </c>
      <c r="H25" s="407">
        <v>0</v>
      </c>
      <c r="I25" s="407">
        <v>0</v>
      </c>
      <c r="J25" s="407">
        <v>0</v>
      </c>
      <c r="K25" s="408">
        <v>0</v>
      </c>
      <c r="L25">
        <v>0</v>
      </c>
      <c r="M25">
        <v>0</v>
      </c>
      <c r="N25">
        <v>0</v>
      </c>
      <c r="O25">
        <v>0</v>
      </c>
      <c r="P25">
        <v>0</v>
      </c>
    </row>
    <row r="26" spans="1:16">
      <c r="A26" s="406">
        <v>50</v>
      </c>
      <c r="B26" s="407">
        <v>0</v>
      </c>
      <c r="C26" s="407">
        <v>0</v>
      </c>
      <c r="D26" s="407">
        <v>0</v>
      </c>
      <c r="E26" s="407">
        <v>0</v>
      </c>
      <c r="F26" s="407">
        <v>0</v>
      </c>
      <c r="G26" s="407">
        <v>0</v>
      </c>
      <c r="H26" s="407">
        <v>0</v>
      </c>
      <c r="I26" s="407">
        <v>0</v>
      </c>
      <c r="J26" s="407">
        <v>0</v>
      </c>
      <c r="K26" s="408">
        <v>0</v>
      </c>
      <c r="L26">
        <v>0</v>
      </c>
      <c r="M26">
        <v>0</v>
      </c>
      <c r="N26">
        <v>0</v>
      </c>
      <c r="O26">
        <v>0</v>
      </c>
      <c r="P26">
        <v>0</v>
      </c>
    </row>
    <row r="27" spans="1:16">
      <c r="A27" s="406">
        <v>60</v>
      </c>
      <c r="B27" s="407">
        <v>160</v>
      </c>
      <c r="C27" s="407">
        <v>185</v>
      </c>
      <c r="D27" s="407">
        <v>160</v>
      </c>
      <c r="E27" s="407">
        <v>145</v>
      </c>
      <c r="F27" s="407">
        <v>130</v>
      </c>
      <c r="G27" s="407">
        <v>75</v>
      </c>
      <c r="H27" s="407">
        <v>15</v>
      </c>
      <c r="I27" s="407">
        <v>0</v>
      </c>
      <c r="J27" s="407">
        <v>0</v>
      </c>
      <c r="K27" s="408">
        <v>0</v>
      </c>
      <c r="L27">
        <v>0</v>
      </c>
      <c r="M27">
        <v>0</v>
      </c>
      <c r="N27">
        <v>0</v>
      </c>
      <c r="O27">
        <v>0</v>
      </c>
      <c r="P27">
        <v>0</v>
      </c>
    </row>
    <row r="28" spans="1:16">
      <c r="A28" s="406">
        <v>70</v>
      </c>
      <c r="B28" s="407">
        <v>315</v>
      </c>
      <c r="C28" s="407">
        <v>340</v>
      </c>
      <c r="D28" s="407">
        <v>315</v>
      </c>
      <c r="E28" s="407">
        <v>285</v>
      </c>
      <c r="F28" s="407">
        <v>260</v>
      </c>
      <c r="G28" s="407">
        <v>200</v>
      </c>
      <c r="H28" s="407">
        <v>165</v>
      </c>
      <c r="I28" s="407">
        <v>145</v>
      </c>
      <c r="J28" s="407">
        <v>115</v>
      </c>
      <c r="K28" s="408">
        <v>90</v>
      </c>
      <c r="L28">
        <v>5</v>
      </c>
      <c r="M28">
        <v>0</v>
      </c>
      <c r="N28">
        <v>0</v>
      </c>
      <c r="O28">
        <v>0</v>
      </c>
      <c r="P28">
        <v>0</v>
      </c>
    </row>
    <row r="29" spans="1:16">
      <c r="A29" s="406">
        <v>80</v>
      </c>
      <c r="B29" s="407">
        <v>470</v>
      </c>
      <c r="C29" s="407">
        <v>500</v>
      </c>
      <c r="D29" s="407">
        <v>465</v>
      </c>
      <c r="E29" s="407">
        <v>425</v>
      </c>
      <c r="F29" s="407">
        <v>395</v>
      </c>
      <c r="G29" s="407">
        <v>325</v>
      </c>
      <c r="H29" s="407">
        <v>280</v>
      </c>
      <c r="I29" s="407">
        <v>250</v>
      </c>
      <c r="J29" s="407">
        <v>215</v>
      </c>
      <c r="K29" s="408">
        <v>180</v>
      </c>
      <c r="L29">
        <v>15</v>
      </c>
      <c r="M29">
        <v>5</v>
      </c>
      <c r="N29">
        <v>0</v>
      </c>
      <c r="O29">
        <v>0</v>
      </c>
      <c r="P29">
        <v>10</v>
      </c>
    </row>
    <row r="30" spans="1:16">
      <c r="A30" s="406">
        <v>90</v>
      </c>
      <c r="B30" s="407">
        <v>625</v>
      </c>
      <c r="C30" s="407">
        <v>660</v>
      </c>
      <c r="D30" s="407">
        <v>615</v>
      </c>
      <c r="E30" s="407">
        <v>570</v>
      </c>
      <c r="F30" s="407">
        <v>535</v>
      </c>
      <c r="G30" s="407">
        <v>450</v>
      </c>
      <c r="H30" s="407">
        <v>395</v>
      </c>
      <c r="I30" s="407">
        <v>355</v>
      </c>
      <c r="J30" s="407">
        <v>310</v>
      </c>
      <c r="K30" s="408">
        <v>265</v>
      </c>
      <c r="L30">
        <v>120</v>
      </c>
      <c r="M30">
        <v>65</v>
      </c>
      <c r="N30">
        <v>45</v>
      </c>
      <c r="O30">
        <v>20</v>
      </c>
      <c r="P30">
        <v>5</v>
      </c>
    </row>
    <row r="31" spans="1:16">
      <c r="A31" s="406">
        <v>100</v>
      </c>
      <c r="B31" s="407">
        <v>780</v>
      </c>
      <c r="C31" s="407">
        <v>820</v>
      </c>
      <c r="D31" s="407">
        <v>770</v>
      </c>
      <c r="E31" s="407">
        <v>710</v>
      </c>
      <c r="F31" s="407">
        <v>670</v>
      </c>
      <c r="G31" s="407">
        <v>575</v>
      </c>
      <c r="H31" s="407">
        <v>510</v>
      </c>
      <c r="I31" s="407">
        <v>465</v>
      </c>
      <c r="J31" s="407">
        <v>410</v>
      </c>
      <c r="K31" s="408">
        <v>355</v>
      </c>
      <c r="L31">
        <v>290</v>
      </c>
      <c r="M31">
        <v>245</v>
      </c>
      <c r="N31">
        <v>190</v>
      </c>
      <c r="O31">
        <v>110</v>
      </c>
      <c r="P31">
        <v>50</v>
      </c>
    </row>
    <row r="32" spans="1:16">
      <c r="A32" s="406">
        <v>110</v>
      </c>
      <c r="B32" s="407">
        <v>935</v>
      </c>
      <c r="C32" s="407">
        <v>980</v>
      </c>
      <c r="D32" s="407">
        <v>925</v>
      </c>
      <c r="E32" s="407">
        <v>855</v>
      </c>
      <c r="F32" s="407">
        <v>805</v>
      </c>
      <c r="G32" s="407">
        <v>700</v>
      </c>
      <c r="H32" s="407">
        <v>625</v>
      </c>
      <c r="I32" s="407">
        <v>570</v>
      </c>
      <c r="J32" s="407">
        <v>510</v>
      </c>
      <c r="K32" s="408">
        <v>440</v>
      </c>
      <c r="L32">
        <v>375</v>
      </c>
      <c r="M32">
        <v>325</v>
      </c>
      <c r="N32">
        <v>280</v>
      </c>
      <c r="O32">
        <v>230</v>
      </c>
      <c r="P32">
        <v>195</v>
      </c>
    </row>
    <row r="33" spans="1:16">
      <c r="A33" s="406">
        <v>120</v>
      </c>
      <c r="B33" s="407">
        <v>1090</v>
      </c>
      <c r="C33" s="407">
        <v>1140</v>
      </c>
      <c r="D33" s="407">
        <v>1080</v>
      </c>
      <c r="E33" s="407">
        <v>1000</v>
      </c>
      <c r="F33" s="407">
        <v>940</v>
      </c>
      <c r="G33" s="407">
        <v>825</v>
      </c>
      <c r="H33" s="407">
        <v>740</v>
      </c>
      <c r="I33" s="407">
        <v>680</v>
      </c>
      <c r="J33" s="407">
        <v>605</v>
      </c>
      <c r="K33" s="408">
        <v>530</v>
      </c>
      <c r="L33">
        <v>455</v>
      </c>
      <c r="M33">
        <v>395</v>
      </c>
      <c r="N33">
        <v>345</v>
      </c>
      <c r="O33">
        <v>295</v>
      </c>
      <c r="P33">
        <v>255</v>
      </c>
    </row>
    <row r="34" spans="1:16">
      <c r="A34" s="406">
        <v>130</v>
      </c>
      <c r="B34" s="407">
        <v>1245</v>
      </c>
      <c r="C34" s="407">
        <v>1300</v>
      </c>
      <c r="D34" s="407">
        <v>1235</v>
      </c>
      <c r="E34" s="407">
        <v>1145</v>
      </c>
      <c r="F34" s="407">
        <v>1075</v>
      </c>
      <c r="G34" s="407">
        <v>950</v>
      </c>
      <c r="H34" s="407">
        <v>855</v>
      </c>
      <c r="I34" s="407">
        <v>785</v>
      </c>
      <c r="J34" s="407">
        <v>705</v>
      </c>
      <c r="K34" s="408">
        <v>620</v>
      </c>
      <c r="L34">
        <v>535</v>
      </c>
      <c r="M34">
        <v>470</v>
      </c>
      <c r="N34">
        <v>410</v>
      </c>
      <c r="O34">
        <v>355</v>
      </c>
      <c r="P34">
        <v>310</v>
      </c>
    </row>
    <row r="35" spans="1:16">
      <c r="A35" s="412">
        <v>140</v>
      </c>
      <c r="B35" s="413">
        <v>1400</v>
      </c>
      <c r="C35" s="413">
        <v>1460</v>
      </c>
      <c r="D35" s="413">
        <v>1390</v>
      </c>
      <c r="E35" s="413">
        <v>1290</v>
      </c>
      <c r="F35" s="413">
        <v>1210</v>
      </c>
      <c r="G35" s="413">
        <v>1075</v>
      </c>
      <c r="H35" s="413">
        <v>975</v>
      </c>
      <c r="I35" s="413">
        <v>895</v>
      </c>
      <c r="J35" s="413">
        <v>805</v>
      </c>
      <c r="K35" s="414">
        <v>710</v>
      </c>
      <c r="L35" s="890">
        <v>615</v>
      </c>
      <c r="M35">
        <v>540</v>
      </c>
      <c r="N35">
        <v>480</v>
      </c>
      <c r="O35">
        <v>415</v>
      </c>
      <c r="P35">
        <v>365</v>
      </c>
    </row>
    <row r="37" spans="1:16" ht="18.75">
      <c r="A37" s="398" t="s">
        <v>514</v>
      </c>
    </row>
    <row r="38" spans="1:16">
      <c r="A38" s="399" t="s">
        <v>511</v>
      </c>
      <c r="B38" s="400" t="s">
        <v>2</v>
      </c>
      <c r="C38" s="400" t="s">
        <v>3</v>
      </c>
      <c r="D38" s="400" t="s">
        <v>4</v>
      </c>
      <c r="E38" s="400" t="s">
        <v>5</v>
      </c>
      <c r="F38" s="400" t="s">
        <v>6</v>
      </c>
      <c r="G38" s="400" t="s">
        <v>7</v>
      </c>
      <c r="H38" s="400" t="s">
        <v>8</v>
      </c>
      <c r="I38" s="400" t="s">
        <v>9</v>
      </c>
      <c r="J38" s="400" t="s">
        <v>21</v>
      </c>
      <c r="K38" s="401" t="s">
        <v>35</v>
      </c>
    </row>
    <row r="39" spans="1:16">
      <c r="A39" s="402" t="s">
        <v>512</v>
      </c>
      <c r="B39" s="403">
        <v>380</v>
      </c>
      <c r="C39" s="403">
        <v>905</v>
      </c>
      <c r="D39" s="403">
        <v>905</v>
      </c>
      <c r="E39" s="403">
        <v>1015</v>
      </c>
      <c r="F39" s="403">
        <v>1195</v>
      </c>
      <c r="G39" s="403">
        <v>1100</v>
      </c>
      <c r="H39" s="403">
        <v>1025</v>
      </c>
      <c r="I39" s="403">
        <v>1010</v>
      </c>
      <c r="J39" s="404">
        <v>975</v>
      </c>
      <c r="K39" s="405">
        <v>885</v>
      </c>
      <c r="L39">
        <v>800</v>
      </c>
      <c r="M39">
        <v>730</v>
      </c>
      <c r="N39">
        <v>675</v>
      </c>
      <c r="O39">
        <v>615</v>
      </c>
      <c r="P39">
        <v>560</v>
      </c>
    </row>
    <row r="40" spans="1:16">
      <c r="A40" s="406">
        <v>40</v>
      </c>
      <c r="B40" s="407">
        <v>0</v>
      </c>
      <c r="C40" s="407">
        <v>0</v>
      </c>
      <c r="D40" s="407">
        <v>0</v>
      </c>
      <c r="E40" s="407">
        <v>0</v>
      </c>
      <c r="F40" s="407">
        <v>0</v>
      </c>
      <c r="G40" s="407">
        <v>0</v>
      </c>
      <c r="H40" s="407">
        <v>0</v>
      </c>
      <c r="I40" s="407">
        <v>0</v>
      </c>
      <c r="J40" s="407">
        <v>0</v>
      </c>
      <c r="K40" s="408">
        <v>0</v>
      </c>
      <c r="L40">
        <v>0</v>
      </c>
      <c r="M40">
        <v>0</v>
      </c>
      <c r="N40">
        <v>0</v>
      </c>
      <c r="O40">
        <v>0</v>
      </c>
      <c r="P40">
        <v>0</v>
      </c>
    </row>
    <row r="41" spans="1:16">
      <c r="A41" s="406">
        <v>50</v>
      </c>
      <c r="B41" s="407">
        <v>0</v>
      </c>
      <c r="C41" s="407">
        <v>0</v>
      </c>
      <c r="D41" s="407">
        <v>0</v>
      </c>
      <c r="E41" s="407">
        <v>0</v>
      </c>
      <c r="F41" s="407">
        <v>0</v>
      </c>
      <c r="G41" s="407">
        <v>0</v>
      </c>
      <c r="H41" s="407">
        <v>0</v>
      </c>
      <c r="I41" s="407">
        <v>0</v>
      </c>
      <c r="J41" s="407">
        <v>0</v>
      </c>
      <c r="K41" s="408">
        <v>0</v>
      </c>
      <c r="L41">
        <v>0</v>
      </c>
      <c r="M41">
        <v>0</v>
      </c>
      <c r="N41">
        <v>0</v>
      </c>
      <c r="O41">
        <v>0</v>
      </c>
      <c r="P41">
        <v>0</v>
      </c>
    </row>
    <row r="42" spans="1:16">
      <c r="A42" s="406">
        <v>60</v>
      </c>
      <c r="B42" s="407">
        <v>240</v>
      </c>
      <c r="C42" s="407">
        <v>275</v>
      </c>
      <c r="D42" s="407">
        <v>240</v>
      </c>
      <c r="E42" s="407">
        <v>215</v>
      </c>
      <c r="F42" s="407">
        <v>195</v>
      </c>
      <c r="G42" s="407">
        <v>115</v>
      </c>
      <c r="H42" s="407">
        <v>40</v>
      </c>
      <c r="I42" s="407">
        <v>0</v>
      </c>
      <c r="J42" s="407">
        <v>0</v>
      </c>
      <c r="K42" s="408">
        <v>0</v>
      </c>
      <c r="L42">
        <v>0</v>
      </c>
      <c r="M42">
        <v>0</v>
      </c>
      <c r="N42">
        <v>0</v>
      </c>
      <c r="O42">
        <v>0</v>
      </c>
      <c r="P42">
        <v>0</v>
      </c>
    </row>
    <row r="43" spans="1:16">
      <c r="A43" s="406">
        <v>70</v>
      </c>
      <c r="B43" s="407">
        <v>470</v>
      </c>
      <c r="C43" s="407">
        <v>510</v>
      </c>
      <c r="D43" s="407">
        <v>470</v>
      </c>
      <c r="E43" s="407">
        <v>425</v>
      </c>
      <c r="F43" s="407">
        <v>395</v>
      </c>
      <c r="G43" s="407">
        <v>300</v>
      </c>
      <c r="H43" s="407">
        <v>245</v>
      </c>
      <c r="I43" s="407">
        <v>215</v>
      </c>
      <c r="J43" s="407">
        <v>175</v>
      </c>
      <c r="K43" s="408">
        <v>140</v>
      </c>
      <c r="L43">
        <v>10</v>
      </c>
      <c r="M43">
        <v>10</v>
      </c>
      <c r="N43">
        <v>0</v>
      </c>
      <c r="O43">
        <v>0</v>
      </c>
      <c r="P43">
        <v>0</v>
      </c>
    </row>
    <row r="44" spans="1:16">
      <c r="A44" s="406">
        <v>80</v>
      </c>
      <c r="B44" s="407">
        <v>705</v>
      </c>
      <c r="C44" s="407">
        <v>750</v>
      </c>
      <c r="D44" s="407">
        <v>695</v>
      </c>
      <c r="E44" s="407">
        <v>640</v>
      </c>
      <c r="F44" s="407">
        <v>595</v>
      </c>
      <c r="G44" s="407">
        <v>485</v>
      </c>
      <c r="H44" s="407">
        <v>420</v>
      </c>
      <c r="I44" s="407">
        <v>375</v>
      </c>
      <c r="J44" s="407">
        <v>320</v>
      </c>
      <c r="K44" s="408">
        <v>265</v>
      </c>
      <c r="L44">
        <v>40</v>
      </c>
      <c r="M44">
        <v>15</v>
      </c>
      <c r="N44">
        <v>5</v>
      </c>
      <c r="O44">
        <v>0</v>
      </c>
      <c r="P44">
        <v>20</v>
      </c>
    </row>
    <row r="45" spans="1:16">
      <c r="A45" s="406">
        <v>90</v>
      </c>
      <c r="B45" s="407">
        <v>935</v>
      </c>
      <c r="C45" s="407">
        <v>985</v>
      </c>
      <c r="D45" s="407">
        <v>925</v>
      </c>
      <c r="E45" s="407">
        <v>855</v>
      </c>
      <c r="F45" s="407">
        <v>800</v>
      </c>
      <c r="G45" s="407">
        <v>675</v>
      </c>
      <c r="H45" s="407">
        <v>595</v>
      </c>
      <c r="I45" s="407">
        <v>535</v>
      </c>
      <c r="J45" s="407">
        <v>465</v>
      </c>
      <c r="K45" s="408">
        <v>400</v>
      </c>
      <c r="L45">
        <v>230</v>
      </c>
      <c r="M45">
        <v>135</v>
      </c>
      <c r="N45">
        <v>75</v>
      </c>
      <c r="O45">
        <v>45</v>
      </c>
      <c r="P45">
        <v>20</v>
      </c>
    </row>
    <row r="46" spans="1:16">
      <c r="A46" s="406">
        <v>100</v>
      </c>
      <c r="B46" s="407">
        <v>1170</v>
      </c>
      <c r="C46" s="407">
        <v>1225</v>
      </c>
      <c r="D46" s="407">
        <v>1155</v>
      </c>
      <c r="E46" s="407">
        <v>1070</v>
      </c>
      <c r="F46" s="407">
        <v>1005</v>
      </c>
      <c r="G46" s="407">
        <v>860</v>
      </c>
      <c r="H46" s="407">
        <v>765</v>
      </c>
      <c r="I46" s="407">
        <v>695</v>
      </c>
      <c r="J46" s="407">
        <v>615</v>
      </c>
      <c r="K46" s="408">
        <v>530</v>
      </c>
      <c r="L46">
        <v>440</v>
      </c>
      <c r="M46">
        <v>370</v>
      </c>
      <c r="N46">
        <v>295</v>
      </c>
      <c r="O46">
        <v>195</v>
      </c>
      <c r="P46">
        <v>115</v>
      </c>
    </row>
    <row r="47" spans="1:16">
      <c r="A47" s="406">
        <v>110</v>
      </c>
      <c r="B47" s="407">
        <v>1400</v>
      </c>
      <c r="C47" s="407">
        <v>1470</v>
      </c>
      <c r="D47" s="407">
        <v>1385</v>
      </c>
      <c r="E47" s="407">
        <v>1285</v>
      </c>
      <c r="F47" s="407">
        <v>1205</v>
      </c>
      <c r="G47" s="407">
        <v>1050</v>
      </c>
      <c r="H47" s="407">
        <v>940</v>
      </c>
      <c r="I47" s="407">
        <v>855</v>
      </c>
      <c r="J47" s="407">
        <v>760</v>
      </c>
      <c r="K47" s="408">
        <v>665</v>
      </c>
      <c r="L47">
        <v>565</v>
      </c>
      <c r="M47">
        <v>485</v>
      </c>
      <c r="N47">
        <v>420</v>
      </c>
      <c r="O47">
        <v>345</v>
      </c>
      <c r="P47">
        <v>290</v>
      </c>
    </row>
    <row r="48" spans="1:16">
      <c r="A48" s="406">
        <v>120</v>
      </c>
      <c r="B48" s="407">
        <v>1635</v>
      </c>
      <c r="C48" s="407">
        <v>1710</v>
      </c>
      <c r="D48" s="407">
        <v>1615</v>
      </c>
      <c r="E48" s="407">
        <v>1500</v>
      </c>
      <c r="F48" s="407">
        <v>1410</v>
      </c>
      <c r="G48" s="407">
        <v>1240</v>
      </c>
      <c r="H48" s="407">
        <v>1115</v>
      </c>
      <c r="I48" s="407">
        <v>1015</v>
      </c>
      <c r="J48" s="407">
        <v>910</v>
      </c>
      <c r="K48" s="408">
        <v>795</v>
      </c>
      <c r="L48">
        <v>685</v>
      </c>
      <c r="M48">
        <v>595</v>
      </c>
      <c r="N48">
        <v>520</v>
      </c>
      <c r="O48">
        <v>445</v>
      </c>
      <c r="P48">
        <v>380</v>
      </c>
    </row>
    <row r="49" spans="1:16">
      <c r="A49" s="406">
        <v>130</v>
      </c>
      <c r="B49" s="407">
        <v>1870</v>
      </c>
      <c r="C49" s="407">
        <v>1950</v>
      </c>
      <c r="D49" s="407">
        <v>1850</v>
      </c>
      <c r="E49" s="407">
        <v>1720</v>
      </c>
      <c r="F49" s="407">
        <v>1615</v>
      </c>
      <c r="G49" s="407">
        <v>1425</v>
      </c>
      <c r="H49" s="407">
        <v>1285</v>
      </c>
      <c r="I49" s="407">
        <v>1180</v>
      </c>
      <c r="J49" s="407">
        <v>1060</v>
      </c>
      <c r="K49" s="408">
        <v>930</v>
      </c>
      <c r="L49">
        <v>805</v>
      </c>
      <c r="M49">
        <v>700</v>
      </c>
      <c r="N49">
        <v>620</v>
      </c>
      <c r="O49">
        <v>535</v>
      </c>
      <c r="P49">
        <v>465</v>
      </c>
    </row>
    <row r="50" spans="1:16">
      <c r="A50" s="412">
        <v>140</v>
      </c>
      <c r="B50" s="413">
        <v>2100</v>
      </c>
      <c r="C50" s="413">
        <v>2190</v>
      </c>
      <c r="D50" s="413">
        <v>2080</v>
      </c>
      <c r="E50" s="413">
        <v>1935</v>
      </c>
      <c r="F50" s="413">
        <v>1820</v>
      </c>
      <c r="G50" s="413">
        <v>1615</v>
      </c>
      <c r="H50" s="413">
        <v>1460</v>
      </c>
      <c r="I50" s="413">
        <v>1340</v>
      </c>
      <c r="J50" s="413">
        <v>1210</v>
      </c>
      <c r="K50" s="414">
        <v>1060</v>
      </c>
      <c r="L50">
        <v>925</v>
      </c>
      <c r="M50">
        <v>810</v>
      </c>
      <c r="N50">
        <v>720</v>
      </c>
      <c r="O50">
        <v>625</v>
      </c>
      <c r="P50">
        <v>545</v>
      </c>
    </row>
    <row r="52" spans="1:16" ht="18.75">
      <c r="A52" s="398" t="s">
        <v>515</v>
      </c>
    </row>
    <row r="53" spans="1:16">
      <c r="A53" s="399" t="s">
        <v>511</v>
      </c>
      <c r="B53" s="400" t="s">
        <v>2</v>
      </c>
      <c r="C53" s="400" t="s">
        <v>3</v>
      </c>
      <c r="D53" s="400" t="s">
        <v>4</v>
      </c>
      <c r="E53" s="400" t="s">
        <v>5</v>
      </c>
      <c r="F53" s="400" t="s">
        <v>6</v>
      </c>
      <c r="G53" s="400" t="s">
        <v>7</v>
      </c>
      <c r="H53" s="400" t="s">
        <v>8</v>
      </c>
      <c r="I53" s="400" t="s">
        <v>9</v>
      </c>
      <c r="J53" s="400" t="s">
        <v>21</v>
      </c>
      <c r="K53" s="401" t="s">
        <v>35</v>
      </c>
      <c r="L53" s="401" t="s">
        <v>36</v>
      </c>
      <c r="M53" s="401" t="s">
        <v>37</v>
      </c>
      <c r="N53" s="401" t="s">
        <v>38</v>
      </c>
      <c r="O53" s="401" t="s">
        <v>39</v>
      </c>
      <c r="P53" s="401" t="s">
        <v>40</v>
      </c>
    </row>
    <row r="54" spans="1:16">
      <c r="A54" s="402" t="s">
        <v>512</v>
      </c>
      <c r="B54" s="403">
        <v>505</v>
      </c>
      <c r="C54" s="403">
        <v>1210</v>
      </c>
      <c r="D54" s="403">
        <v>1205</v>
      </c>
      <c r="E54" s="403">
        <v>1350</v>
      </c>
      <c r="F54" s="403">
        <v>1595</v>
      </c>
      <c r="G54" s="403">
        <v>1465</v>
      </c>
      <c r="H54" s="403">
        <v>1365</v>
      </c>
      <c r="I54" s="403">
        <v>1350</v>
      </c>
      <c r="J54" s="404">
        <v>1300</v>
      </c>
      <c r="K54" s="405">
        <v>1185</v>
      </c>
      <c r="L54">
        <v>1070</v>
      </c>
      <c r="M54">
        <v>975</v>
      </c>
      <c r="N54">
        <v>900</v>
      </c>
      <c r="O54">
        <v>820</v>
      </c>
      <c r="P54">
        <v>750</v>
      </c>
    </row>
    <row r="55" spans="1:16">
      <c r="A55" s="406">
        <v>40</v>
      </c>
      <c r="B55" s="407">
        <v>0</v>
      </c>
      <c r="C55" s="407">
        <v>0</v>
      </c>
      <c r="D55" s="407">
        <v>0</v>
      </c>
      <c r="E55" s="407">
        <v>0</v>
      </c>
      <c r="F55" s="407">
        <v>0</v>
      </c>
      <c r="G55" s="407">
        <v>0</v>
      </c>
      <c r="H55" s="407">
        <v>0</v>
      </c>
      <c r="I55" s="407">
        <v>0</v>
      </c>
      <c r="J55" s="407">
        <v>0</v>
      </c>
      <c r="K55" s="408">
        <v>0</v>
      </c>
      <c r="L55">
        <v>0</v>
      </c>
      <c r="M55">
        <v>0</v>
      </c>
      <c r="N55">
        <v>0</v>
      </c>
      <c r="O55">
        <v>0</v>
      </c>
      <c r="P55">
        <v>0</v>
      </c>
    </row>
    <row r="56" spans="1:16">
      <c r="A56" s="406">
        <v>50</v>
      </c>
      <c r="B56" s="407">
        <v>0</v>
      </c>
      <c r="C56" s="407">
        <v>0</v>
      </c>
      <c r="D56" s="407">
        <v>0</v>
      </c>
      <c r="E56" s="407">
        <v>0</v>
      </c>
      <c r="F56" s="407">
        <v>0</v>
      </c>
      <c r="G56" s="407">
        <v>0</v>
      </c>
      <c r="H56" s="407">
        <v>0</v>
      </c>
      <c r="I56" s="407">
        <v>0</v>
      </c>
      <c r="J56" s="407">
        <v>0</v>
      </c>
      <c r="K56" s="408">
        <v>0</v>
      </c>
      <c r="L56">
        <v>0</v>
      </c>
      <c r="M56">
        <v>0</v>
      </c>
      <c r="N56">
        <v>0</v>
      </c>
      <c r="O56">
        <v>0</v>
      </c>
      <c r="P56">
        <v>0</v>
      </c>
    </row>
    <row r="57" spans="1:16">
      <c r="A57" s="406">
        <v>60</v>
      </c>
      <c r="B57" s="407">
        <v>315</v>
      </c>
      <c r="C57" s="407">
        <v>365</v>
      </c>
      <c r="D57" s="407">
        <v>325</v>
      </c>
      <c r="E57" s="407">
        <v>285</v>
      </c>
      <c r="F57" s="407">
        <v>260</v>
      </c>
      <c r="G57" s="407">
        <v>155</v>
      </c>
      <c r="H57" s="407">
        <v>65</v>
      </c>
      <c r="I57" s="407">
        <v>15</v>
      </c>
      <c r="J57" s="407">
        <v>0</v>
      </c>
      <c r="K57" s="408">
        <v>0</v>
      </c>
      <c r="L57">
        <v>0</v>
      </c>
      <c r="M57">
        <v>0</v>
      </c>
      <c r="N57">
        <v>0</v>
      </c>
      <c r="O57">
        <v>0</v>
      </c>
      <c r="P57">
        <v>0</v>
      </c>
    </row>
    <row r="58" spans="1:16">
      <c r="A58" s="406">
        <v>70</v>
      </c>
      <c r="B58" s="407">
        <v>625</v>
      </c>
      <c r="C58" s="407">
        <v>680</v>
      </c>
      <c r="D58" s="407">
        <v>625</v>
      </c>
      <c r="E58" s="407">
        <v>570</v>
      </c>
      <c r="F58" s="407">
        <v>525</v>
      </c>
      <c r="G58" s="407">
        <v>400</v>
      </c>
      <c r="H58" s="407">
        <v>330</v>
      </c>
      <c r="I58" s="407">
        <v>285</v>
      </c>
      <c r="J58" s="407">
        <v>230</v>
      </c>
      <c r="K58" s="408">
        <v>185</v>
      </c>
      <c r="L58">
        <v>10</v>
      </c>
      <c r="M58">
        <v>20</v>
      </c>
      <c r="N58">
        <v>0</v>
      </c>
      <c r="O58">
        <v>0</v>
      </c>
      <c r="P58">
        <v>0</v>
      </c>
    </row>
    <row r="59" spans="1:16">
      <c r="A59" s="406">
        <v>80</v>
      </c>
      <c r="B59" s="407">
        <v>940</v>
      </c>
      <c r="C59" s="407">
        <v>995</v>
      </c>
      <c r="D59" s="407">
        <v>930</v>
      </c>
      <c r="E59" s="407">
        <v>850</v>
      </c>
      <c r="F59" s="407">
        <v>795</v>
      </c>
      <c r="G59" s="407">
        <v>650</v>
      </c>
      <c r="H59" s="407">
        <v>560</v>
      </c>
      <c r="I59" s="407">
        <v>500</v>
      </c>
      <c r="J59" s="407">
        <v>425</v>
      </c>
      <c r="K59" s="408">
        <v>355</v>
      </c>
      <c r="L59">
        <v>70</v>
      </c>
      <c r="M59">
        <v>35</v>
      </c>
      <c r="N59">
        <v>10</v>
      </c>
      <c r="O59">
        <v>5</v>
      </c>
      <c r="P59">
        <v>25</v>
      </c>
    </row>
    <row r="60" spans="1:16">
      <c r="A60" s="406">
        <v>90</v>
      </c>
      <c r="B60" s="407">
        <v>1250</v>
      </c>
      <c r="C60" s="407">
        <v>1315</v>
      </c>
      <c r="D60" s="407">
        <v>1235</v>
      </c>
      <c r="E60" s="407">
        <v>1140</v>
      </c>
      <c r="F60" s="407">
        <v>1065</v>
      </c>
      <c r="G60" s="407">
        <v>900</v>
      </c>
      <c r="H60" s="407">
        <v>790</v>
      </c>
      <c r="I60" s="407">
        <v>715</v>
      </c>
      <c r="J60" s="407">
        <v>620</v>
      </c>
      <c r="K60" s="408">
        <v>530</v>
      </c>
      <c r="L60">
        <v>335</v>
      </c>
      <c r="M60">
        <v>225</v>
      </c>
      <c r="N60">
        <v>130</v>
      </c>
      <c r="O60">
        <v>65</v>
      </c>
      <c r="P60">
        <v>35</v>
      </c>
    </row>
    <row r="61" spans="1:16">
      <c r="A61" s="406">
        <v>100</v>
      </c>
      <c r="B61" s="407">
        <v>1560</v>
      </c>
      <c r="C61" s="407">
        <v>1635</v>
      </c>
      <c r="D61" s="407">
        <v>1540</v>
      </c>
      <c r="E61" s="407">
        <v>1425</v>
      </c>
      <c r="F61" s="407">
        <v>1335</v>
      </c>
      <c r="G61" s="407">
        <v>1150</v>
      </c>
      <c r="H61" s="407">
        <v>1020</v>
      </c>
      <c r="I61" s="407">
        <v>925</v>
      </c>
      <c r="J61" s="407">
        <v>820</v>
      </c>
      <c r="K61" s="408">
        <v>710</v>
      </c>
      <c r="L61">
        <v>585</v>
      </c>
      <c r="M61">
        <v>495</v>
      </c>
      <c r="N61">
        <v>400</v>
      </c>
      <c r="O61">
        <v>280</v>
      </c>
      <c r="P61">
        <v>185</v>
      </c>
    </row>
    <row r="62" spans="1:16">
      <c r="A62" s="406">
        <v>110</v>
      </c>
      <c r="B62" s="407">
        <v>1870</v>
      </c>
      <c r="C62" s="407">
        <v>1955</v>
      </c>
      <c r="D62" s="407">
        <v>1845</v>
      </c>
      <c r="E62" s="407">
        <v>1715</v>
      </c>
      <c r="F62" s="407">
        <v>1610</v>
      </c>
      <c r="G62" s="407">
        <v>1400</v>
      </c>
      <c r="H62" s="407">
        <v>1255</v>
      </c>
      <c r="I62" s="407">
        <v>1140</v>
      </c>
      <c r="J62" s="407">
        <v>1015</v>
      </c>
      <c r="K62" s="408">
        <v>885</v>
      </c>
      <c r="L62">
        <v>755</v>
      </c>
      <c r="M62">
        <v>645</v>
      </c>
      <c r="N62">
        <v>555</v>
      </c>
      <c r="O62">
        <v>465</v>
      </c>
      <c r="P62">
        <v>390</v>
      </c>
    </row>
    <row r="63" spans="1:16">
      <c r="A63" s="406">
        <v>120</v>
      </c>
      <c r="B63" s="407">
        <v>2180</v>
      </c>
      <c r="C63" s="407">
        <v>2280</v>
      </c>
      <c r="D63" s="407">
        <v>2155</v>
      </c>
      <c r="E63" s="407">
        <v>2000</v>
      </c>
      <c r="F63" s="407">
        <v>1880</v>
      </c>
      <c r="G63" s="407">
        <v>1650</v>
      </c>
      <c r="H63" s="407">
        <v>1485</v>
      </c>
      <c r="I63" s="407">
        <v>1355</v>
      </c>
      <c r="J63" s="407">
        <v>1215</v>
      </c>
      <c r="K63" s="408">
        <v>1060</v>
      </c>
      <c r="L63">
        <v>915</v>
      </c>
      <c r="M63">
        <v>790</v>
      </c>
      <c r="N63">
        <v>690</v>
      </c>
      <c r="O63">
        <v>590</v>
      </c>
      <c r="P63">
        <v>505</v>
      </c>
    </row>
    <row r="64" spans="1:16">
      <c r="A64" s="406">
        <v>130</v>
      </c>
      <c r="B64" s="407">
        <v>2490</v>
      </c>
      <c r="C64" s="407">
        <v>2600</v>
      </c>
      <c r="D64" s="407">
        <v>2465</v>
      </c>
      <c r="E64" s="407">
        <v>2290</v>
      </c>
      <c r="F64" s="407">
        <v>2150</v>
      </c>
      <c r="G64" s="407">
        <v>1900</v>
      </c>
      <c r="H64" s="407">
        <v>1715</v>
      </c>
      <c r="I64" s="407">
        <v>1570</v>
      </c>
      <c r="J64" s="407">
        <v>1410</v>
      </c>
      <c r="K64" s="408">
        <v>1240</v>
      </c>
      <c r="L64">
        <v>1070</v>
      </c>
      <c r="M64">
        <v>935</v>
      </c>
      <c r="N64">
        <v>825</v>
      </c>
      <c r="O64">
        <v>715</v>
      </c>
      <c r="P64">
        <v>620</v>
      </c>
    </row>
    <row r="65" spans="1:16">
      <c r="A65" s="412">
        <v>140</v>
      </c>
      <c r="B65" s="413">
        <v>2805</v>
      </c>
      <c r="C65" s="413">
        <v>2920</v>
      </c>
      <c r="D65" s="413">
        <v>2775</v>
      </c>
      <c r="E65" s="413">
        <v>2580</v>
      </c>
      <c r="F65" s="413">
        <v>2425</v>
      </c>
      <c r="G65" s="413">
        <v>2150</v>
      </c>
      <c r="H65" s="413">
        <v>1945</v>
      </c>
      <c r="I65" s="413">
        <v>1785</v>
      </c>
      <c r="J65" s="413">
        <v>1610</v>
      </c>
      <c r="K65" s="414">
        <v>1415</v>
      </c>
      <c r="L65">
        <v>1235</v>
      </c>
      <c r="M65">
        <v>1080</v>
      </c>
      <c r="N65">
        <v>960</v>
      </c>
      <c r="O65">
        <v>835</v>
      </c>
      <c r="P65">
        <v>730</v>
      </c>
    </row>
    <row r="67" spans="1:16" ht="18.75">
      <c r="A67" s="398" t="s">
        <v>516</v>
      </c>
    </row>
    <row r="68" spans="1:16">
      <c r="A68" s="399" t="s">
        <v>511</v>
      </c>
      <c r="B68" s="400" t="s">
        <v>2</v>
      </c>
      <c r="C68" s="400" t="s">
        <v>3</v>
      </c>
      <c r="D68" s="400" t="s">
        <v>4</v>
      </c>
      <c r="E68" s="400" t="s">
        <v>5</v>
      </c>
      <c r="F68" s="400" t="s">
        <v>6</v>
      </c>
      <c r="G68" s="400" t="s">
        <v>7</v>
      </c>
      <c r="H68" s="400" t="s">
        <v>8</v>
      </c>
      <c r="I68" s="400" t="s">
        <v>9</v>
      </c>
      <c r="J68" s="400" t="s">
        <v>21</v>
      </c>
      <c r="K68" s="401" t="s">
        <v>35</v>
      </c>
      <c r="L68" s="401" t="s">
        <v>36</v>
      </c>
      <c r="M68" s="401" t="s">
        <v>37</v>
      </c>
      <c r="N68" s="401" t="s">
        <v>38</v>
      </c>
      <c r="O68" s="401" t="s">
        <v>39</v>
      </c>
      <c r="P68" s="401" t="s">
        <v>40</v>
      </c>
    </row>
    <row r="69" spans="1:16">
      <c r="A69" s="402" t="s">
        <v>512</v>
      </c>
      <c r="B69" s="403">
        <v>630</v>
      </c>
      <c r="C69" s="403">
        <v>1510</v>
      </c>
      <c r="D69" s="403">
        <v>1505</v>
      </c>
      <c r="E69" s="403">
        <v>1690</v>
      </c>
      <c r="F69" s="403">
        <v>1995</v>
      </c>
      <c r="G69" s="403">
        <v>1830</v>
      </c>
      <c r="H69" s="403">
        <v>1710</v>
      </c>
      <c r="I69" s="403">
        <v>1685</v>
      </c>
      <c r="J69" s="404">
        <v>1625</v>
      </c>
      <c r="K69" s="405">
        <v>1480</v>
      </c>
      <c r="L69">
        <v>1335</v>
      </c>
      <c r="M69">
        <v>1220</v>
      </c>
      <c r="N69">
        <v>1125</v>
      </c>
      <c r="O69">
        <v>1020</v>
      </c>
      <c r="P69">
        <v>935</v>
      </c>
    </row>
    <row r="70" spans="1:16">
      <c r="A70" s="406">
        <v>40</v>
      </c>
      <c r="B70" s="407">
        <v>0</v>
      </c>
      <c r="C70" s="407">
        <v>0</v>
      </c>
      <c r="D70" s="407">
        <v>0</v>
      </c>
      <c r="E70" s="407">
        <v>0</v>
      </c>
      <c r="F70" s="407">
        <v>0</v>
      </c>
      <c r="G70" s="407">
        <v>0</v>
      </c>
      <c r="H70" s="407">
        <v>0</v>
      </c>
      <c r="I70" s="407">
        <v>0</v>
      </c>
      <c r="J70" s="407">
        <v>0</v>
      </c>
      <c r="K70" s="408">
        <v>0</v>
      </c>
      <c r="L70">
        <v>0</v>
      </c>
      <c r="M70">
        <v>0</v>
      </c>
      <c r="N70">
        <v>0</v>
      </c>
      <c r="O70">
        <v>0</v>
      </c>
      <c r="P70">
        <v>0</v>
      </c>
    </row>
    <row r="71" spans="1:16">
      <c r="A71" s="406">
        <v>50</v>
      </c>
      <c r="B71" s="407">
        <v>0</v>
      </c>
      <c r="C71" s="407">
        <v>0</v>
      </c>
      <c r="D71" s="407">
        <v>0</v>
      </c>
      <c r="E71" s="407">
        <v>0</v>
      </c>
      <c r="F71" s="407">
        <v>0</v>
      </c>
      <c r="G71" s="407">
        <v>0</v>
      </c>
      <c r="H71" s="407">
        <v>0</v>
      </c>
      <c r="I71" s="407">
        <v>0</v>
      </c>
      <c r="J71" s="407">
        <v>0</v>
      </c>
      <c r="K71" s="408">
        <v>0</v>
      </c>
      <c r="L71">
        <v>0</v>
      </c>
      <c r="M71">
        <v>0</v>
      </c>
      <c r="N71">
        <v>0</v>
      </c>
      <c r="O71">
        <v>0</v>
      </c>
      <c r="P71">
        <v>0</v>
      </c>
    </row>
    <row r="72" spans="1:16">
      <c r="A72" s="406">
        <v>60</v>
      </c>
      <c r="B72" s="407">
        <v>395</v>
      </c>
      <c r="C72" s="407">
        <v>460</v>
      </c>
      <c r="D72" s="407">
        <v>405</v>
      </c>
      <c r="E72" s="407">
        <v>355</v>
      </c>
      <c r="F72" s="407">
        <v>325</v>
      </c>
      <c r="G72" s="407">
        <v>195</v>
      </c>
      <c r="H72" s="407">
        <v>90</v>
      </c>
      <c r="I72" s="407">
        <v>35</v>
      </c>
      <c r="J72" s="407">
        <v>0</v>
      </c>
      <c r="K72" s="408">
        <v>0</v>
      </c>
      <c r="L72">
        <v>0</v>
      </c>
      <c r="M72">
        <v>0</v>
      </c>
      <c r="N72">
        <v>0</v>
      </c>
      <c r="O72">
        <v>0</v>
      </c>
      <c r="P72">
        <v>0</v>
      </c>
    </row>
    <row r="73" spans="1:16">
      <c r="A73" s="406">
        <v>70</v>
      </c>
      <c r="B73" s="407">
        <v>785</v>
      </c>
      <c r="C73" s="407">
        <v>855</v>
      </c>
      <c r="D73" s="407">
        <v>780</v>
      </c>
      <c r="E73" s="407">
        <v>710</v>
      </c>
      <c r="F73" s="407">
        <v>655</v>
      </c>
      <c r="G73" s="407">
        <v>500</v>
      </c>
      <c r="H73" s="407">
        <v>410</v>
      </c>
      <c r="I73" s="407">
        <v>355</v>
      </c>
      <c r="J73" s="407">
        <v>290</v>
      </c>
      <c r="K73" s="408">
        <v>230</v>
      </c>
      <c r="L73">
        <v>10</v>
      </c>
      <c r="M73">
        <v>25</v>
      </c>
      <c r="N73">
        <v>0</v>
      </c>
      <c r="O73">
        <v>0</v>
      </c>
      <c r="P73">
        <v>0</v>
      </c>
    </row>
    <row r="74" spans="1:16">
      <c r="A74" s="406">
        <v>80</v>
      </c>
      <c r="B74" s="407">
        <v>1170</v>
      </c>
      <c r="C74" s="407">
        <v>1245</v>
      </c>
      <c r="D74" s="407">
        <v>1160</v>
      </c>
      <c r="E74" s="407">
        <v>1065</v>
      </c>
      <c r="F74" s="407">
        <v>995</v>
      </c>
      <c r="G74" s="407">
        <v>810</v>
      </c>
      <c r="H74" s="407">
        <v>700</v>
      </c>
      <c r="I74" s="407">
        <v>625</v>
      </c>
      <c r="J74" s="407">
        <v>530</v>
      </c>
      <c r="K74" s="408">
        <v>445</v>
      </c>
      <c r="L74">
        <v>95</v>
      </c>
      <c r="M74">
        <v>60</v>
      </c>
      <c r="N74">
        <v>25</v>
      </c>
      <c r="O74">
        <v>5</v>
      </c>
      <c r="P74">
        <v>25</v>
      </c>
    </row>
    <row r="75" spans="1:16">
      <c r="A75" s="406">
        <v>90</v>
      </c>
      <c r="B75" s="407">
        <v>1560</v>
      </c>
      <c r="C75" s="407">
        <v>1645</v>
      </c>
      <c r="D75" s="407">
        <v>1540</v>
      </c>
      <c r="E75" s="407">
        <v>1420</v>
      </c>
      <c r="F75" s="407">
        <v>1330</v>
      </c>
      <c r="G75" s="407">
        <v>1125</v>
      </c>
      <c r="H75" s="407">
        <v>990</v>
      </c>
      <c r="I75" s="407">
        <v>890</v>
      </c>
      <c r="J75" s="407">
        <v>775</v>
      </c>
      <c r="K75" s="408">
        <v>665</v>
      </c>
      <c r="L75">
        <v>445</v>
      </c>
      <c r="M75">
        <v>315</v>
      </c>
      <c r="N75">
        <v>200</v>
      </c>
      <c r="O75">
        <v>90</v>
      </c>
      <c r="P75">
        <v>55</v>
      </c>
    </row>
    <row r="76" spans="1:16">
      <c r="A76" s="406">
        <v>100</v>
      </c>
      <c r="B76" s="407">
        <v>1945</v>
      </c>
      <c r="C76" s="407">
        <v>2045</v>
      </c>
      <c r="D76" s="407">
        <v>1925</v>
      </c>
      <c r="E76" s="407">
        <v>1780</v>
      </c>
      <c r="F76" s="407">
        <v>1670</v>
      </c>
      <c r="G76" s="407">
        <v>1435</v>
      </c>
      <c r="H76" s="407">
        <v>1275</v>
      </c>
      <c r="I76" s="407">
        <v>1160</v>
      </c>
      <c r="J76" s="407">
        <v>1025</v>
      </c>
      <c r="K76" s="408">
        <v>885</v>
      </c>
      <c r="L76">
        <v>735</v>
      </c>
      <c r="M76">
        <v>620</v>
      </c>
      <c r="N76">
        <v>505</v>
      </c>
      <c r="O76">
        <v>365</v>
      </c>
      <c r="P76">
        <v>255</v>
      </c>
    </row>
    <row r="77" spans="1:16">
      <c r="A77" s="406">
        <v>110</v>
      </c>
      <c r="B77" s="407">
        <v>2335</v>
      </c>
      <c r="C77" s="407">
        <v>2445</v>
      </c>
      <c r="D77" s="407">
        <v>2305</v>
      </c>
      <c r="E77" s="407">
        <v>2140</v>
      </c>
      <c r="F77" s="407">
        <v>2010</v>
      </c>
      <c r="G77" s="407">
        <v>1750</v>
      </c>
      <c r="H77" s="407">
        <v>1565</v>
      </c>
      <c r="I77" s="407">
        <v>1425</v>
      </c>
      <c r="J77" s="407">
        <v>1270</v>
      </c>
      <c r="K77" s="408">
        <v>1105</v>
      </c>
      <c r="L77">
        <v>940</v>
      </c>
      <c r="M77">
        <v>805</v>
      </c>
      <c r="N77">
        <v>695</v>
      </c>
      <c r="O77">
        <v>580</v>
      </c>
      <c r="P77">
        <v>485</v>
      </c>
    </row>
    <row r="78" spans="1:16">
      <c r="A78" s="406">
        <v>120</v>
      </c>
      <c r="B78" s="407">
        <v>2720</v>
      </c>
      <c r="C78" s="407">
        <v>2850</v>
      </c>
      <c r="D78" s="407">
        <v>2695</v>
      </c>
      <c r="E78" s="407">
        <v>2500</v>
      </c>
      <c r="F78" s="407">
        <v>2350</v>
      </c>
      <c r="G78" s="407">
        <v>2060</v>
      </c>
      <c r="H78" s="407">
        <v>1855</v>
      </c>
      <c r="I78" s="407">
        <v>1695</v>
      </c>
      <c r="J78" s="407">
        <v>1520</v>
      </c>
      <c r="K78" s="408">
        <v>1325</v>
      </c>
      <c r="L78">
        <v>1140</v>
      </c>
      <c r="M78">
        <v>990</v>
      </c>
      <c r="N78">
        <v>865</v>
      </c>
      <c r="O78">
        <v>740</v>
      </c>
      <c r="P78">
        <v>635</v>
      </c>
    </row>
    <row r="79" spans="1:16">
      <c r="A79" s="406">
        <v>130</v>
      </c>
      <c r="B79" s="407">
        <v>3110</v>
      </c>
      <c r="C79" s="407">
        <v>3250</v>
      </c>
      <c r="D79" s="407">
        <v>3080</v>
      </c>
      <c r="E79" s="407">
        <v>2865</v>
      </c>
      <c r="F79" s="407">
        <v>2690</v>
      </c>
      <c r="G79" s="407">
        <v>2375</v>
      </c>
      <c r="H79" s="407">
        <v>2145</v>
      </c>
      <c r="I79" s="407">
        <v>1965</v>
      </c>
      <c r="J79" s="407">
        <v>1765</v>
      </c>
      <c r="K79" s="408">
        <v>1550</v>
      </c>
      <c r="L79">
        <v>1340</v>
      </c>
      <c r="M79">
        <v>1170</v>
      </c>
      <c r="N79">
        <v>1030</v>
      </c>
      <c r="O79">
        <v>890</v>
      </c>
      <c r="P79">
        <v>775</v>
      </c>
    </row>
    <row r="80" spans="1:16">
      <c r="A80" s="412">
        <v>140</v>
      </c>
      <c r="B80" s="413">
        <v>3505</v>
      </c>
      <c r="C80" s="413">
        <v>3650</v>
      </c>
      <c r="D80" s="413">
        <v>3470</v>
      </c>
      <c r="E80" s="413">
        <v>3225</v>
      </c>
      <c r="F80" s="413">
        <v>3030</v>
      </c>
      <c r="G80" s="413">
        <v>2690</v>
      </c>
      <c r="H80" s="413">
        <v>2435</v>
      </c>
      <c r="I80" s="413">
        <v>2230</v>
      </c>
      <c r="J80" s="413">
        <v>2015</v>
      </c>
      <c r="K80" s="414">
        <v>1770</v>
      </c>
      <c r="L80">
        <v>1540</v>
      </c>
      <c r="M80">
        <v>1350</v>
      </c>
      <c r="N80">
        <v>1200</v>
      </c>
      <c r="O80">
        <v>1045</v>
      </c>
      <c r="P80">
        <v>910</v>
      </c>
    </row>
    <row r="82" spans="1:16" ht="18.75">
      <c r="A82" s="398" t="s">
        <v>517</v>
      </c>
    </row>
    <row r="83" spans="1:16">
      <c r="A83" s="399" t="s">
        <v>511</v>
      </c>
      <c r="B83" s="400" t="s">
        <v>2</v>
      </c>
      <c r="C83" s="400" t="s">
        <v>3</v>
      </c>
      <c r="D83" s="400" t="s">
        <v>4</v>
      </c>
      <c r="E83" s="400" t="s">
        <v>5</v>
      </c>
      <c r="F83" s="400" t="s">
        <v>6</v>
      </c>
      <c r="G83" s="400" t="s">
        <v>7</v>
      </c>
      <c r="H83" s="400" t="s">
        <v>8</v>
      </c>
      <c r="I83" s="400" t="s">
        <v>9</v>
      </c>
      <c r="J83" s="400" t="s">
        <v>21</v>
      </c>
      <c r="K83" s="401" t="s">
        <v>35</v>
      </c>
    </row>
    <row r="84" spans="1:16">
      <c r="A84" s="402" t="s">
        <v>512</v>
      </c>
      <c r="B84" s="403">
        <v>755</v>
      </c>
      <c r="C84" s="403">
        <v>1815</v>
      </c>
      <c r="D84" s="403">
        <v>1810</v>
      </c>
      <c r="E84" s="403">
        <v>2030</v>
      </c>
      <c r="F84" s="403">
        <v>2395</v>
      </c>
      <c r="G84" s="403">
        <v>2195</v>
      </c>
      <c r="H84" s="403">
        <v>2050</v>
      </c>
      <c r="I84" s="403">
        <v>2020</v>
      </c>
      <c r="J84" s="404">
        <v>1950</v>
      </c>
      <c r="K84" s="405">
        <v>1775</v>
      </c>
      <c r="L84">
        <v>1600</v>
      </c>
      <c r="M84">
        <v>1460</v>
      </c>
      <c r="N84">
        <v>1350</v>
      </c>
      <c r="O84">
        <v>1225</v>
      </c>
      <c r="P84">
        <v>1125</v>
      </c>
    </row>
    <row r="85" spans="1:16">
      <c r="A85" s="406">
        <v>40</v>
      </c>
      <c r="B85" s="407">
        <v>0</v>
      </c>
      <c r="C85" s="407">
        <v>0</v>
      </c>
      <c r="D85" s="407">
        <v>0</v>
      </c>
      <c r="E85" s="407">
        <v>0</v>
      </c>
      <c r="F85" s="407">
        <v>0</v>
      </c>
      <c r="G85" s="407">
        <v>0</v>
      </c>
      <c r="H85" s="407">
        <v>0</v>
      </c>
      <c r="I85" s="407">
        <v>0</v>
      </c>
      <c r="J85" s="407">
        <v>0</v>
      </c>
      <c r="K85" s="408">
        <v>0</v>
      </c>
      <c r="L85">
        <v>0</v>
      </c>
      <c r="M85">
        <v>0</v>
      </c>
      <c r="N85">
        <v>0</v>
      </c>
      <c r="O85">
        <v>0</v>
      </c>
      <c r="P85">
        <v>0</v>
      </c>
    </row>
    <row r="86" spans="1:16">
      <c r="A86" s="406">
        <v>50</v>
      </c>
      <c r="B86" s="407">
        <v>0</v>
      </c>
      <c r="C86" s="407">
        <v>0</v>
      </c>
      <c r="D86" s="407">
        <v>0</v>
      </c>
      <c r="E86" s="407">
        <v>0</v>
      </c>
      <c r="F86" s="407">
        <v>0</v>
      </c>
      <c r="G86" s="407">
        <v>0</v>
      </c>
      <c r="H86" s="407">
        <v>0</v>
      </c>
      <c r="I86" s="407">
        <v>0</v>
      </c>
      <c r="J86" s="407">
        <v>0</v>
      </c>
      <c r="K86" s="408">
        <v>0</v>
      </c>
      <c r="L86">
        <v>0</v>
      </c>
      <c r="M86">
        <v>0</v>
      </c>
      <c r="N86">
        <v>0</v>
      </c>
      <c r="O86">
        <v>0</v>
      </c>
      <c r="P86">
        <v>0</v>
      </c>
    </row>
    <row r="87" spans="1:16">
      <c r="A87" s="406">
        <v>60</v>
      </c>
      <c r="B87" s="407">
        <v>475</v>
      </c>
      <c r="C87" s="407">
        <v>550</v>
      </c>
      <c r="D87" s="407">
        <v>485</v>
      </c>
      <c r="E87" s="407">
        <v>430</v>
      </c>
      <c r="F87" s="407">
        <v>390</v>
      </c>
      <c r="G87" s="407">
        <v>230</v>
      </c>
      <c r="H87" s="407">
        <v>120</v>
      </c>
      <c r="I87" s="407">
        <v>55</v>
      </c>
      <c r="J87" s="407">
        <v>0</v>
      </c>
      <c r="K87" s="408">
        <v>0</v>
      </c>
      <c r="L87">
        <v>0</v>
      </c>
      <c r="M87">
        <v>0</v>
      </c>
      <c r="N87">
        <v>0</v>
      </c>
      <c r="O87">
        <v>0</v>
      </c>
      <c r="P87">
        <v>0</v>
      </c>
    </row>
    <row r="88" spans="1:16">
      <c r="A88" s="406">
        <v>70</v>
      </c>
      <c r="B88" s="407">
        <v>940</v>
      </c>
      <c r="C88" s="407">
        <v>1025</v>
      </c>
      <c r="D88" s="407">
        <v>940</v>
      </c>
      <c r="E88" s="407">
        <v>850</v>
      </c>
      <c r="F88" s="407">
        <v>785</v>
      </c>
      <c r="G88" s="407">
        <v>595</v>
      </c>
      <c r="H88" s="407">
        <v>495</v>
      </c>
      <c r="I88" s="407">
        <v>430</v>
      </c>
      <c r="J88" s="407">
        <v>350</v>
      </c>
      <c r="K88" s="408">
        <v>275</v>
      </c>
      <c r="L88">
        <v>15</v>
      </c>
      <c r="M88">
        <v>25</v>
      </c>
      <c r="N88">
        <v>0</v>
      </c>
      <c r="O88">
        <v>0</v>
      </c>
      <c r="P88">
        <v>0</v>
      </c>
    </row>
    <row r="89" spans="1:16">
      <c r="A89" s="406">
        <v>80</v>
      </c>
      <c r="B89" s="407">
        <v>1405</v>
      </c>
      <c r="C89" s="407">
        <v>1495</v>
      </c>
      <c r="D89" s="407">
        <v>1395</v>
      </c>
      <c r="E89" s="407">
        <v>1280</v>
      </c>
      <c r="F89" s="407">
        <v>1190</v>
      </c>
      <c r="G89" s="407">
        <v>970</v>
      </c>
      <c r="H89" s="407">
        <v>840</v>
      </c>
      <c r="I89" s="407">
        <v>750</v>
      </c>
      <c r="J89" s="407">
        <v>640</v>
      </c>
      <c r="K89" s="408">
        <v>535</v>
      </c>
      <c r="L89">
        <v>130</v>
      </c>
      <c r="M89">
        <v>80</v>
      </c>
      <c r="N89">
        <v>45</v>
      </c>
      <c r="O89">
        <v>10</v>
      </c>
      <c r="P89">
        <v>30</v>
      </c>
    </row>
    <row r="90" spans="1:16">
      <c r="A90" s="406">
        <v>90</v>
      </c>
      <c r="B90" s="407">
        <v>1870</v>
      </c>
      <c r="C90" s="407">
        <v>1975</v>
      </c>
      <c r="D90" s="407">
        <v>1850</v>
      </c>
      <c r="E90" s="407">
        <v>1705</v>
      </c>
      <c r="F90" s="407">
        <v>1600</v>
      </c>
      <c r="G90" s="407">
        <v>1345</v>
      </c>
      <c r="H90" s="407">
        <v>1185</v>
      </c>
      <c r="I90" s="407">
        <v>1070</v>
      </c>
      <c r="J90" s="407">
        <v>930</v>
      </c>
      <c r="K90" s="408">
        <v>795</v>
      </c>
      <c r="L90">
        <v>550</v>
      </c>
      <c r="M90">
        <v>400</v>
      </c>
      <c r="N90">
        <v>275</v>
      </c>
      <c r="O90">
        <v>130</v>
      </c>
      <c r="P90">
        <v>70</v>
      </c>
    </row>
    <row r="91" spans="1:16">
      <c r="A91" s="406">
        <v>100</v>
      </c>
      <c r="B91" s="407">
        <v>2335</v>
      </c>
      <c r="C91" s="407">
        <v>2450</v>
      </c>
      <c r="D91" s="407">
        <v>2310</v>
      </c>
      <c r="E91" s="407">
        <v>2135</v>
      </c>
      <c r="F91" s="407">
        <v>2005</v>
      </c>
      <c r="G91" s="407">
        <v>1725</v>
      </c>
      <c r="H91" s="407">
        <v>1530</v>
      </c>
      <c r="I91" s="407">
        <v>1390</v>
      </c>
      <c r="J91" s="407">
        <v>1225</v>
      </c>
      <c r="K91" s="408">
        <v>1060</v>
      </c>
      <c r="L91">
        <v>885</v>
      </c>
      <c r="M91">
        <v>745</v>
      </c>
      <c r="N91">
        <v>610</v>
      </c>
      <c r="O91">
        <v>450</v>
      </c>
      <c r="P91">
        <v>325</v>
      </c>
    </row>
    <row r="92" spans="1:16">
      <c r="A92" s="406">
        <v>110</v>
      </c>
      <c r="B92" s="407">
        <v>2800</v>
      </c>
      <c r="C92" s="407">
        <v>2935</v>
      </c>
      <c r="D92" s="407">
        <v>2770</v>
      </c>
      <c r="E92" s="407">
        <v>2570</v>
      </c>
      <c r="F92" s="407">
        <v>2415</v>
      </c>
      <c r="G92" s="407">
        <v>2100</v>
      </c>
      <c r="H92" s="407">
        <v>1880</v>
      </c>
      <c r="I92" s="407">
        <v>1710</v>
      </c>
      <c r="J92" s="407">
        <v>1525</v>
      </c>
      <c r="K92" s="408">
        <v>1325</v>
      </c>
      <c r="L92">
        <v>1130</v>
      </c>
      <c r="M92">
        <v>970</v>
      </c>
      <c r="N92">
        <v>840</v>
      </c>
      <c r="O92">
        <v>700</v>
      </c>
      <c r="P92">
        <v>585</v>
      </c>
    </row>
    <row r="93" spans="1:16">
      <c r="A93" s="406">
        <v>120</v>
      </c>
      <c r="B93" s="407">
        <v>3265</v>
      </c>
      <c r="C93" s="407">
        <v>3415</v>
      </c>
      <c r="D93" s="407">
        <v>3230</v>
      </c>
      <c r="E93" s="407">
        <v>3000</v>
      </c>
      <c r="F93" s="407">
        <v>2820</v>
      </c>
      <c r="G93" s="407">
        <v>2475</v>
      </c>
      <c r="H93" s="407">
        <v>2225</v>
      </c>
      <c r="I93" s="407">
        <v>2035</v>
      </c>
      <c r="J93" s="407">
        <v>1820</v>
      </c>
      <c r="K93" s="408">
        <v>1595</v>
      </c>
      <c r="L93">
        <v>1370</v>
      </c>
      <c r="M93">
        <v>1185</v>
      </c>
      <c r="N93">
        <v>1040</v>
      </c>
      <c r="O93">
        <v>885</v>
      </c>
      <c r="P93">
        <v>760</v>
      </c>
    </row>
    <row r="94" spans="1:16">
      <c r="A94" s="406">
        <v>130</v>
      </c>
      <c r="B94" s="407">
        <v>3735</v>
      </c>
      <c r="C94" s="407">
        <v>3900</v>
      </c>
      <c r="D94" s="407">
        <v>3695</v>
      </c>
      <c r="E94" s="407">
        <v>3435</v>
      </c>
      <c r="F94" s="407">
        <v>3225</v>
      </c>
      <c r="G94" s="407">
        <v>2850</v>
      </c>
      <c r="H94" s="407">
        <v>2570</v>
      </c>
      <c r="I94" s="407">
        <v>2355</v>
      </c>
      <c r="J94" s="407">
        <v>2120</v>
      </c>
      <c r="K94" s="408">
        <v>1860</v>
      </c>
      <c r="L94">
        <v>1610</v>
      </c>
      <c r="M94">
        <v>1405</v>
      </c>
      <c r="N94">
        <v>1240</v>
      </c>
      <c r="O94">
        <v>1070</v>
      </c>
      <c r="P94">
        <v>930</v>
      </c>
    </row>
    <row r="95" spans="1:16">
      <c r="A95" s="412">
        <v>140</v>
      </c>
      <c r="B95" s="413">
        <v>4205</v>
      </c>
      <c r="C95" s="413">
        <v>4380</v>
      </c>
      <c r="D95" s="413">
        <v>4160</v>
      </c>
      <c r="E95" s="413">
        <v>3870</v>
      </c>
      <c r="F95" s="413">
        <v>3635</v>
      </c>
      <c r="G95" s="413">
        <v>3225</v>
      </c>
      <c r="H95" s="413">
        <v>2920</v>
      </c>
      <c r="I95" s="413">
        <v>2675</v>
      </c>
      <c r="J95" s="413">
        <v>2415</v>
      </c>
      <c r="K95" s="414">
        <v>2125</v>
      </c>
      <c r="L95">
        <v>1850</v>
      </c>
      <c r="M95">
        <v>1620</v>
      </c>
      <c r="N95">
        <v>1435</v>
      </c>
      <c r="O95">
        <v>1250</v>
      </c>
      <c r="P95">
        <v>1095</v>
      </c>
    </row>
    <row r="97" spans="1:16" ht="18.75">
      <c r="A97" s="398" t="s">
        <v>518</v>
      </c>
    </row>
    <row r="98" spans="1:16">
      <c r="A98" s="399" t="s">
        <v>511</v>
      </c>
      <c r="B98" s="400" t="s">
        <v>2</v>
      </c>
      <c r="C98" s="400" t="s">
        <v>3</v>
      </c>
      <c r="D98" s="400" t="s">
        <v>4</v>
      </c>
      <c r="E98" s="400" t="s">
        <v>5</v>
      </c>
      <c r="F98" s="400" t="s">
        <v>6</v>
      </c>
      <c r="G98" s="400" t="s">
        <v>7</v>
      </c>
      <c r="H98" s="400" t="s">
        <v>8</v>
      </c>
      <c r="I98" s="400" t="s">
        <v>9</v>
      </c>
      <c r="J98" s="400" t="s">
        <v>21</v>
      </c>
      <c r="K98" s="401" t="s">
        <v>35</v>
      </c>
      <c r="L98" s="401" t="s">
        <v>36</v>
      </c>
      <c r="M98" s="401" t="s">
        <v>37</v>
      </c>
      <c r="N98" s="401" t="s">
        <v>38</v>
      </c>
      <c r="O98" s="401" t="s">
        <v>39</v>
      </c>
      <c r="P98" s="401" t="s">
        <v>40</v>
      </c>
    </row>
    <row r="99" spans="1:16">
      <c r="A99" s="402" t="s">
        <v>512</v>
      </c>
      <c r="B99" s="403">
        <v>880</v>
      </c>
      <c r="C99" s="403">
        <v>2115</v>
      </c>
      <c r="D99" s="403">
        <v>2110</v>
      </c>
      <c r="E99" s="403">
        <v>2365</v>
      </c>
      <c r="F99" s="403">
        <v>2795</v>
      </c>
      <c r="G99" s="403">
        <v>2565</v>
      </c>
      <c r="H99" s="403">
        <v>2390</v>
      </c>
      <c r="I99" s="403">
        <v>2360</v>
      </c>
      <c r="J99" s="404">
        <v>2275</v>
      </c>
      <c r="K99" s="405">
        <v>2070</v>
      </c>
      <c r="L99">
        <v>1870</v>
      </c>
      <c r="M99">
        <v>1705</v>
      </c>
      <c r="N99">
        <v>1575</v>
      </c>
      <c r="O99">
        <v>1430</v>
      </c>
      <c r="P99">
        <v>1310</v>
      </c>
    </row>
    <row r="100" spans="1:16">
      <c r="A100" s="406">
        <v>40</v>
      </c>
      <c r="B100" s="407">
        <v>0</v>
      </c>
      <c r="C100" s="407">
        <v>0</v>
      </c>
      <c r="D100" s="407">
        <v>0</v>
      </c>
      <c r="E100" s="407">
        <v>0</v>
      </c>
      <c r="F100" s="407">
        <v>0</v>
      </c>
      <c r="G100" s="407">
        <v>0</v>
      </c>
      <c r="H100" s="407">
        <v>0</v>
      </c>
      <c r="I100" s="407">
        <v>0</v>
      </c>
      <c r="J100" s="407">
        <v>0</v>
      </c>
      <c r="K100" s="408">
        <v>0</v>
      </c>
      <c r="L100">
        <v>0</v>
      </c>
      <c r="M100">
        <v>0</v>
      </c>
      <c r="N100">
        <v>0</v>
      </c>
      <c r="O100">
        <v>0</v>
      </c>
      <c r="P100">
        <v>0</v>
      </c>
    </row>
    <row r="101" spans="1:16">
      <c r="A101" s="406">
        <v>50</v>
      </c>
      <c r="B101" s="407">
        <v>0</v>
      </c>
      <c r="C101" s="407">
        <v>0</v>
      </c>
      <c r="D101" s="407">
        <v>0</v>
      </c>
      <c r="E101" s="407">
        <v>0</v>
      </c>
      <c r="F101" s="407">
        <v>0</v>
      </c>
      <c r="G101" s="407">
        <v>0</v>
      </c>
      <c r="H101" s="407">
        <v>0</v>
      </c>
      <c r="I101" s="407">
        <v>0</v>
      </c>
      <c r="J101" s="407">
        <v>0</v>
      </c>
      <c r="K101" s="408">
        <v>0</v>
      </c>
      <c r="L101">
        <v>0</v>
      </c>
      <c r="M101">
        <v>0</v>
      </c>
      <c r="N101">
        <v>0</v>
      </c>
      <c r="O101">
        <v>0</v>
      </c>
      <c r="P101">
        <v>0</v>
      </c>
    </row>
    <row r="102" spans="1:16">
      <c r="A102" s="406">
        <v>60</v>
      </c>
      <c r="B102" s="407">
        <v>555</v>
      </c>
      <c r="C102" s="407">
        <v>645</v>
      </c>
      <c r="D102" s="407">
        <v>565</v>
      </c>
      <c r="E102" s="407">
        <v>500</v>
      </c>
      <c r="F102" s="407">
        <v>455</v>
      </c>
      <c r="G102" s="407">
        <v>270</v>
      </c>
      <c r="H102" s="407">
        <v>145</v>
      </c>
      <c r="I102" s="407">
        <v>75</v>
      </c>
      <c r="J102" s="407">
        <v>0</v>
      </c>
      <c r="K102" s="408">
        <v>0</v>
      </c>
      <c r="L102">
        <v>0</v>
      </c>
      <c r="M102">
        <v>0</v>
      </c>
      <c r="N102">
        <v>0</v>
      </c>
      <c r="O102">
        <v>0</v>
      </c>
      <c r="P102">
        <v>0</v>
      </c>
    </row>
    <row r="103" spans="1:16">
      <c r="A103" s="406">
        <v>70</v>
      </c>
      <c r="B103" s="407">
        <v>1095</v>
      </c>
      <c r="C103" s="407">
        <v>1195</v>
      </c>
      <c r="D103" s="407">
        <v>1095</v>
      </c>
      <c r="E103" s="407">
        <v>995</v>
      </c>
      <c r="F103" s="407">
        <v>915</v>
      </c>
      <c r="G103" s="407">
        <v>695</v>
      </c>
      <c r="H103" s="407">
        <v>575</v>
      </c>
      <c r="I103" s="407">
        <v>500</v>
      </c>
      <c r="J103" s="407">
        <v>405</v>
      </c>
      <c r="K103" s="408">
        <v>320</v>
      </c>
      <c r="L103">
        <v>20</v>
      </c>
      <c r="M103">
        <v>30</v>
      </c>
      <c r="N103">
        <v>0</v>
      </c>
      <c r="O103">
        <v>0</v>
      </c>
      <c r="P103">
        <v>0</v>
      </c>
    </row>
    <row r="104" spans="1:16">
      <c r="A104" s="406">
        <v>80</v>
      </c>
      <c r="B104" s="407">
        <v>1640</v>
      </c>
      <c r="C104" s="407">
        <v>1745</v>
      </c>
      <c r="D104" s="407">
        <v>1625</v>
      </c>
      <c r="E104" s="407">
        <v>1490</v>
      </c>
      <c r="F104" s="407">
        <v>1390</v>
      </c>
      <c r="G104" s="407">
        <v>1135</v>
      </c>
      <c r="H104" s="407">
        <v>980</v>
      </c>
      <c r="I104" s="407">
        <v>875</v>
      </c>
      <c r="J104" s="407">
        <v>745</v>
      </c>
      <c r="K104" s="408">
        <v>625</v>
      </c>
      <c r="L104">
        <v>190</v>
      </c>
      <c r="M104">
        <v>100</v>
      </c>
      <c r="N104">
        <v>65</v>
      </c>
      <c r="O104">
        <v>20</v>
      </c>
      <c r="P104">
        <v>35</v>
      </c>
    </row>
    <row r="105" spans="1:16">
      <c r="A105" s="406">
        <v>90</v>
      </c>
      <c r="B105" s="407">
        <v>2185</v>
      </c>
      <c r="C105" s="407">
        <v>2300</v>
      </c>
      <c r="D105" s="407">
        <v>2160</v>
      </c>
      <c r="E105" s="407">
        <v>1990</v>
      </c>
      <c r="F105" s="407">
        <v>1865</v>
      </c>
      <c r="G105" s="407">
        <v>1570</v>
      </c>
      <c r="H105" s="407">
        <v>1385</v>
      </c>
      <c r="I105" s="407">
        <v>1250</v>
      </c>
      <c r="J105" s="407">
        <v>1085</v>
      </c>
      <c r="K105" s="408">
        <v>930</v>
      </c>
      <c r="L105">
        <v>655</v>
      </c>
      <c r="M105">
        <v>490</v>
      </c>
      <c r="N105">
        <v>350</v>
      </c>
      <c r="O105">
        <v>190</v>
      </c>
      <c r="P105">
        <v>90</v>
      </c>
    </row>
    <row r="106" spans="1:16">
      <c r="A106" s="406">
        <v>100</v>
      </c>
      <c r="B106" s="407">
        <v>2725</v>
      </c>
      <c r="C106" s="407">
        <v>2860</v>
      </c>
      <c r="D106" s="407">
        <v>2695</v>
      </c>
      <c r="E106" s="407">
        <v>2490</v>
      </c>
      <c r="F106" s="407">
        <v>2340</v>
      </c>
      <c r="G106" s="407">
        <v>2010</v>
      </c>
      <c r="H106" s="407">
        <v>1790</v>
      </c>
      <c r="I106" s="407">
        <v>1625</v>
      </c>
      <c r="J106" s="407">
        <v>1430</v>
      </c>
      <c r="K106" s="408">
        <v>1240</v>
      </c>
      <c r="L106">
        <v>1035</v>
      </c>
      <c r="M106">
        <v>870</v>
      </c>
      <c r="N106">
        <v>715</v>
      </c>
      <c r="O106">
        <v>540</v>
      </c>
      <c r="P106">
        <v>395</v>
      </c>
    </row>
    <row r="107" spans="1:16">
      <c r="A107" s="406">
        <v>110</v>
      </c>
      <c r="B107" s="407">
        <v>3265</v>
      </c>
      <c r="C107" s="407">
        <v>3425</v>
      </c>
      <c r="D107" s="407">
        <v>3230</v>
      </c>
      <c r="E107" s="407">
        <v>2995</v>
      </c>
      <c r="F107" s="407">
        <v>2815</v>
      </c>
      <c r="G107" s="407">
        <v>2450</v>
      </c>
      <c r="H107" s="407">
        <v>2190</v>
      </c>
      <c r="I107" s="407">
        <v>2000</v>
      </c>
      <c r="J107" s="407">
        <v>1780</v>
      </c>
      <c r="K107" s="408">
        <v>1550</v>
      </c>
      <c r="L107">
        <v>1320</v>
      </c>
      <c r="M107">
        <v>1130</v>
      </c>
      <c r="N107">
        <v>980</v>
      </c>
      <c r="O107">
        <v>815</v>
      </c>
      <c r="P107">
        <v>685</v>
      </c>
    </row>
    <row r="108" spans="1:16">
      <c r="A108" s="406">
        <v>120</v>
      </c>
      <c r="B108" s="407">
        <v>3810</v>
      </c>
      <c r="C108" s="407">
        <v>3985</v>
      </c>
      <c r="D108" s="407">
        <v>3770</v>
      </c>
      <c r="E108" s="407">
        <v>3500</v>
      </c>
      <c r="F108" s="407">
        <v>3290</v>
      </c>
      <c r="G108" s="407">
        <v>2885</v>
      </c>
      <c r="H108" s="407">
        <v>2595</v>
      </c>
      <c r="I108" s="407">
        <v>2375</v>
      </c>
      <c r="J108" s="407">
        <v>2125</v>
      </c>
      <c r="K108" s="408">
        <v>1860</v>
      </c>
      <c r="L108">
        <v>1600</v>
      </c>
      <c r="M108">
        <v>1385</v>
      </c>
      <c r="N108">
        <v>1210</v>
      </c>
      <c r="O108">
        <v>1035</v>
      </c>
      <c r="P108">
        <v>885</v>
      </c>
    </row>
    <row r="109" spans="1:16">
      <c r="A109" s="406">
        <v>130</v>
      </c>
      <c r="B109" s="407">
        <v>4355</v>
      </c>
      <c r="C109" s="407">
        <v>4550</v>
      </c>
      <c r="D109" s="407">
        <v>4310</v>
      </c>
      <c r="E109" s="407">
        <v>4005</v>
      </c>
      <c r="F109" s="407">
        <v>3765</v>
      </c>
      <c r="G109" s="407">
        <v>3325</v>
      </c>
      <c r="H109" s="407">
        <v>3000</v>
      </c>
      <c r="I109" s="407">
        <v>2745</v>
      </c>
      <c r="J109" s="407">
        <v>2470</v>
      </c>
      <c r="K109" s="408">
        <v>2170</v>
      </c>
      <c r="L109">
        <v>1875</v>
      </c>
      <c r="M109">
        <v>1640</v>
      </c>
      <c r="N109">
        <v>1445</v>
      </c>
      <c r="O109">
        <v>1250</v>
      </c>
      <c r="P109">
        <v>1080</v>
      </c>
    </row>
    <row r="110" spans="1:16">
      <c r="A110" s="412">
        <v>140</v>
      </c>
      <c r="B110" s="413">
        <v>4900</v>
      </c>
      <c r="C110" s="413">
        <v>5110</v>
      </c>
      <c r="D110" s="413">
        <v>4855</v>
      </c>
      <c r="E110" s="413">
        <v>4510</v>
      </c>
      <c r="F110" s="413">
        <v>4240</v>
      </c>
      <c r="G110" s="413">
        <v>3765</v>
      </c>
      <c r="H110" s="413">
        <v>3405</v>
      </c>
      <c r="I110" s="413">
        <v>3125</v>
      </c>
      <c r="J110" s="413">
        <v>2815</v>
      </c>
      <c r="K110" s="414">
        <v>2475</v>
      </c>
      <c r="L110">
        <v>2160</v>
      </c>
      <c r="M110">
        <v>1895</v>
      </c>
      <c r="N110">
        <v>1675</v>
      </c>
      <c r="O110">
        <v>1460</v>
      </c>
      <c r="P110">
        <v>1275</v>
      </c>
    </row>
    <row r="112" spans="1:16" ht="18.75">
      <c r="A112" s="398" t="s">
        <v>519</v>
      </c>
    </row>
    <row r="113" spans="1:16">
      <c r="A113" s="399" t="s">
        <v>511</v>
      </c>
      <c r="B113" s="400" t="s">
        <v>2</v>
      </c>
      <c r="C113" s="400" t="s">
        <v>3</v>
      </c>
      <c r="D113" s="400" t="s">
        <v>4</v>
      </c>
      <c r="E113" s="400" t="s">
        <v>5</v>
      </c>
      <c r="F113" s="400" t="s">
        <v>6</v>
      </c>
      <c r="G113" s="400" t="s">
        <v>7</v>
      </c>
      <c r="H113" s="400" t="s">
        <v>8</v>
      </c>
      <c r="I113" s="400" t="s">
        <v>9</v>
      </c>
      <c r="J113" s="400" t="s">
        <v>21</v>
      </c>
      <c r="K113" s="401" t="s">
        <v>35</v>
      </c>
      <c r="L113" s="401" t="s">
        <v>36</v>
      </c>
      <c r="M113" s="401" t="s">
        <v>37</v>
      </c>
      <c r="N113" s="401" t="s">
        <v>38</v>
      </c>
      <c r="O113" s="401" t="s">
        <v>39</v>
      </c>
      <c r="P113" s="401" t="s">
        <v>40</v>
      </c>
    </row>
    <row r="114" spans="1:16">
      <c r="A114" s="402" t="s">
        <v>512</v>
      </c>
      <c r="B114" s="403">
        <v>1010</v>
      </c>
      <c r="C114" s="403">
        <v>2415</v>
      </c>
      <c r="D114" s="403">
        <v>2410</v>
      </c>
      <c r="E114" s="403">
        <v>2705</v>
      </c>
      <c r="F114" s="403">
        <v>3190</v>
      </c>
      <c r="G114" s="403">
        <v>2930</v>
      </c>
      <c r="H114" s="403">
        <v>2730</v>
      </c>
      <c r="I114" s="403">
        <v>2695</v>
      </c>
      <c r="J114" s="404">
        <v>2600</v>
      </c>
      <c r="K114" s="405">
        <v>2365</v>
      </c>
      <c r="L114">
        <v>2135</v>
      </c>
      <c r="M114">
        <v>1945</v>
      </c>
      <c r="N114">
        <v>1800</v>
      </c>
      <c r="O114">
        <v>1635</v>
      </c>
      <c r="P114">
        <v>1500</v>
      </c>
    </row>
    <row r="115" spans="1:16">
      <c r="A115" s="406">
        <v>40</v>
      </c>
      <c r="B115" s="407">
        <v>0</v>
      </c>
      <c r="C115" s="407">
        <v>0</v>
      </c>
      <c r="D115" s="407">
        <v>0</v>
      </c>
      <c r="E115" s="407">
        <v>0</v>
      </c>
      <c r="F115" s="407">
        <v>0</v>
      </c>
      <c r="G115" s="407">
        <v>0</v>
      </c>
      <c r="H115" s="407">
        <v>0</v>
      </c>
      <c r="I115" s="407">
        <v>0</v>
      </c>
      <c r="J115" s="407">
        <v>0</v>
      </c>
      <c r="K115" s="408">
        <v>0</v>
      </c>
      <c r="L115">
        <v>0</v>
      </c>
      <c r="M115">
        <v>0</v>
      </c>
      <c r="N115">
        <v>0</v>
      </c>
      <c r="O115">
        <v>0</v>
      </c>
      <c r="P115">
        <v>0</v>
      </c>
    </row>
    <row r="116" spans="1:16">
      <c r="A116" s="406">
        <v>50</v>
      </c>
      <c r="B116" s="407">
        <v>0</v>
      </c>
      <c r="C116" s="407">
        <v>0</v>
      </c>
      <c r="D116" s="407">
        <v>0</v>
      </c>
      <c r="E116" s="407">
        <v>0</v>
      </c>
      <c r="F116" s="407">
        <v>0</v>
      </c>
      <c r="G116" s="407">
        <v>0</v>
      </c>
      <c r="H116" s="407">
        <v>0</v>
      </c>
      <c r="I116" s="407">
        <v>0</v>
      </c>
      <c r="J116" s="407">
        <v>0</v>
      </c>
      <c r="K116" s="408">
        <v>0</v>
      </c>
      <c r="L116">
        <v>0</v>
      </c>
      <c r="M116">
        <v>0</v>
      </c>
      <c r="N116">
        <v>0</v>
      </c>
      <c r="O116">
        <v>0</v>
      </c>
      <c r="P116">
        <v>0</v>
      </c>
    </row>
    <row r="117" spans="1:16">
      <c r="A117" s="406">
        <v>60</v>
      </c>
      <c r="B117" s="407">
        <v>635</v>
      </c>
      <c r="C117" s="407">
        <v>735</v>
      </c>
      <c r="D117" s="407">
        <v>645</v>
      </c>
      <c r="E117" s="407">
        <v>570</v>
      </c>
      <c r="F117" s="407">
        <v>520</v>
      </c>
      <c r="G117" s="407">
        <v>310</v>
      </c>
      <c r="H117" s="407">
        <v>170</v>
      </c>
      <c r="I117" s="407">
        <v>95</v>
      </c>
      <c r="J117" s="407">
        <v>0</v>
      </c>
      <c r="K117" s="408">
        <v>0</v>
      </c>
      <c r="L117">
        <v>0</v>
      </c>
      <c r="M117">
        <v>0</v>
      </c>
      <c r="N117">
        <v>0</v>
      </c>
      <c r="O117">
        <v>0</v>
      </c>
      <c r="P117">
        <v>0</v>
      </c>
    </row>
    <row r="118" spans="1:16">
      <c r="A118" s="406">
        <v>70</v>
      </c>
      <c r="B118" s="407">
        <v>1255</v>
      </c>
      <c r="C118" s="407">
        <v>1365</v>
      </c>
      <c r="D118" s="407">
        <v>1250</v>
      </c>
      <c r="E118" s="407">
        <v>1135</v>
      </c>
      <c r="F118" s="407">
        <v>1050</v>
      </c>
      <c r="G118" s="407">
        <v>795</v>
      </c>
      <c r="H118" s="407">
        <v>660</v>
      </c>
      <c r="I118" s="407">
        <v>570</v>
      </c>
      <c r="J118" s="407">
        <v>465</v>
      </c>
      <c r="K118" s="408">
        <v>370</v>
      </c>
      <c r="L118">
        <v>25</v>
      </c>
      <c r="M118">
        <v>35</v>
      </c>
      <c r="N118">
        <v>0</v>
      </c>
      <c r="O118">
        <v>0</v>
      </c>
      <c r="P118">
        <v>0</v>
      </c>
    </row>
    <row r="119" spans="1:16">
      <c r="A119" s="406">
        <v>80</v>
      </c>
      <c r="B119" s="407">
        <v>1875</v>
      </c>
      <c r="C119" s="407">
        <v>1995</v>
      </c>
      <c r="D119" s="407">
        <v>1855</v>
      </c>
      <c r="E119" s="407">
        <v>1705</v>
      </c>
      <c r="F119" s="407">
        <v>1590</v>
      </c>
      <c r="G119" s="407">
        <v>1295</v>
      </c>
      <c r="H119" s="407">
        <v>1120</v>
      </c>
      <c r="I119" s="407">
        <v>1000</v>
      </c>
      <c r="J119" s="407">
        <v>850</v>
      </c>
      <c r="K119" s="408">
        <v>710</v>
      </c>
      <c r="L119">
        <v>260</v>
      </c>
      <c r="M119">
        <v>125</v>
      </c>
      <c r="N119">
        <v>80</v>
      </c>
      <c r="O119">
        <v>35</v>
      </c>
      <c r="P119">
        <v>35</v>
      </c>
    </row>
    <row r="120" spans="1:16">
      <c r="A120" s="406">
        <v>90</v>
      </c>
      <c r="B120" s="407">
        <v>2495</v>
      </c>
      <c r="C120" s="407">
        <v>2630</v>
      </c>
      <c r="D120" s="407">
        <v>2465</v>
      </c>
      <c r="E120" s="407">
        <v>2275</v>
      </c>
      <c r="F120" s="407">
        <v>2130</v>
      </c>
      <c r="G120" s="407">
        <v>1795</v>
      </c>
      <c r="H120" s="407">
        <v>1580</v>
      </c>
      <c r="I120" s="407">
        <v>1425</v>
      </c>
      <c r="J120" s="407">
        <v>1240</v>
      </c>
      <c r="K120" s="408">
        <v>1060</v>
      </c>
      <c r="L120">
        <v>765</v>
      </c>
      <c r="M120">
        <v>575</v>
      </c>
      <c r="N120">
        <v>420</v>
      </c>
      <c r="O120">
        <v>245</v>
      </c>
      <c r="P120">
        <v>110</v>
      </c>
    </row>
    <row r="121" spans="1:16">
      <c r="A121" s="406">
        <v>100</v>
      </c>
      <c r="B121" s="407">
        <v>3115</v>
      </c>
      <c r="C121" s="407">
        <v>3270</v>
      </c>
      <c r="D121" s="407">
        <v>3080</v>
      </c>
      <c r="E121" s="407">
        <v>2845</v>
      </c>
      <c r="F121" s="407">
        <v>2675</v>
      </c>
      <c r="G121" s="407">
        <v>2295</v>
      </c>
      <c r="H121" s="407">
        <v>2045</v>
      </c>
      <c r="I121" s="407">
        <v>1855</v>
      </c>
      <c r="J121" s="407">
        <v>1635</v>
      </c>
      <c r="K121" s="408">
        <v>1415</v>
      </c>
      <c r="L121">
        <v>1185</v>
      </c>
      <c r="M121">
        <v>995</v>
      </c>
      <c r="N121">
        <v>825</v>
      </c>
      <c r="O121">
        <v>625</v>
      </c>
      <c r="P121">
        <v>465</v>
      </c>
    </row>
    <row r="122" spans="1:16">
      <c r="A122" s="406">
        <v>110</v>
      </c>
      <c r="B122" s="407">
        <v>3735</v>
      </c>
      <c r="C122" s="407">
        <v>3910</v>
      </c>
      <c r="D122" s="407">
        <v>3690</v>
      </c>
      <c r="E122" s="407">
        <v>3425</v>
      </c>
      <c r="F122" s="407">
        <v>3215</v>
      </c>
      <c r="G122" s="407">
        <v>2800</v>
      </c>
      <c r="H122" s="407">
        <v>2505</v>
      </c>
      <c r="I122" s="407">
        <v>2285</v>
      </c>
      <c r="J122" s="407">
        <v>2030</v>
      </c>
      <c r="K122" s="408">
        <v>1770</v>
      </c>
      <c r="L122">
        <v>1510</v>
      </c>
      <c r="M122">
        <v>1295</v>
      </c>
      <c r="N122">
        <v>1120</v>
      </c>
      <c r="O122">
        <v>935</v>
      </c>
      <c r="P122">
        <v>785</v>
      </c>
    </row>
    <row r="123" spans="1:16">
      <c r="A123" s="406">
        <v>120</v>
      </c>
      <c r="B123" s="407">
        <v>4355</v>
      </c>
      <c r="C123" s="407">
        <v>4555</v>
      </c>
      <c r="D123" s="407">
        <v>4310</v>
      </c>
      <c r="E123" s="407">
        <v>4000</v>
      </c>
      <c r="F123" s="407">
        <v>3760</v>
      </c>
      <c r="G123" s="407">
        <v>3300</v>
      </c>
      <c r="H123" s="407">
        <v>2965</v>
      </c>
      <c r="I123" s="407">
        <v>2710</v>
      </c>
      <c r="J123" s="407">
        <v>2430</v>
      </c>
      <c r="K123" s="408">
        <v>2125</v>
      </c>
      <c r="L123">
        <v>1825</v>
      </c>
      <c r="M123">
        <v>1585</v>
      </c>
      <c r="N123">
        <v>1385</v>
      </c>
      <c r="O123">
        <v>1185</v>
      </c>
      <c r="P123">
        <v>1015</v>
      </c>
    </row>
    <row r="124" spans="1:16">
      <c r="A124" s="406">
        <v>130</v>
      </c>
      <c r="B124" s="407">
        <v>4975</v>
      </c>
      <c r="C124" s="407">
        <v>5200</v>
      </c>
      <c r="D124" s="407">
        <v>4930</v>
      </c>
      <c r="E124" s="407">
        <v>4580</v>
      </c>
      <c r="F124" s="407">
        <v>4300</v>
      </c>
      <c r="G124" s="407">
        <v>3800</v>
      </c>
      <c r="H124" s="407">
        <v>3430</v>
      </c>
      <c r="I124" s="407">
        <v>3140</v>
      </c>
      <c r="J124" s="407">
        <v>2825</v>
      </c>
      <c r="K124" s="408">
        <v>2475</v>
      </c>
      <c r="L124">
        <v>2145</v>
      </c>
      <c r="M124">
        <v>1870</v>
      </c>
      <c r="N124">
        <v>1650</v>
      </c>
      <c r="O124">
        <v>1425</v>
      </c>
      <c r="P124">
        <v>1235</v>
      </c>
    </row>
    <row r="125" spans="1:16">
      <c r="A125" s="412">
        <v>140</v>
      </c>
      <c r="B125" s="413">
        <v>5600</v>
      </c>
      <c r="C125" s="413">
        <v>5840</v>
      </c>
      <c r="D125" s="413">
        <v>5550</v>
      </c>
      <c r="E125" s="413">
        <v>5155</v>
      </c>
      <c r="F125" s="413">
        <v>4845</v>
      </c>
      <c r="G125" s="413">
        <v>4300</v>
      </c>
      <c r="H125" s="413">
        <v>3890</v>
      </c>
      <c r="I125" s="413">
        <v>3570</v>
      </c>
      <c r="J125" s="413">
        <v>3220</v>
      </c>
      <c r="K125" s="414">
        <v>2830</v>
      </c>
      <c r="L125">
        <v>2465</v>
      </c>
      <c r="M125">
        <v>2165</v>
      </c>
      <c r="N125">
        <v>1915</v>
      </c>
      <c r="O125">
        <v>1670</v>
      </c>
      <c r="P125">
        <v>1460</v>
      </c>
    </row>
    <row r="127" spans="1:16" ht="18.75">
      <c r="A127" s="398" t="s">
        <v>520</v>
      </c>
    </row>
    <row r="128" spans="1:16">
      <c r="A128" s="399" t="s">
        <v>511</v>
      </c>
      <c r="B128" s="400" t="s">
        <v>2</v>
      </c>
      <c r="C128" s="400" t="s">
        <v>3</v>
      </c>
      <c r="D128" s="400" t="s">
        <v>4</v>
      </c>
      <c r="E128" s="400" t="s">
        <v>5</v>
      </c>
      <c r="F128" s="400" t="s">
        <v>6</v>
      </c>
      <c r="G128" s="400" t="s">
        <v>7</v>
      </c>
      <c r="H128" s="400" t="s">
        <v>8</v>
      </c>
      <c r="I128" s="400" t="s">
        <v>9</v>
      </c>
      <c r="J128" s="400" t="s">
        <v>21</v>
      </c>
      <c r="K128" s="401" t="s">
        <v>35</v>
      </c>
      <c r="L128" s="401" t="s">
        <v>36</v>
      </c>
      <c r="M128" s="401" t="s">
        <v>37</v>
      </c>
      <c r="N128" s="401" t="s">
        <v>38</v>
      </c>
      <c r="O128" s="401" t="s">
        <v>39</v>
      </c>
      <c r="P128" s="401" t="s">
        <v>40</v>
      </c>
    </row>
    <row r="129" spans="1:16">
      <c r="A129" s="402" t="s">
        <v>512</v>
      </c>
      <c r="B129" s="403">
        <v>1135</v>
      </c>
      <c r="C129" s="403">
        <v>2720</v>
      </c>
      <c r="D129" s="403">
        <v>2710</v>
      </c>
      <c r="E129" s="403">
        <v>3040</v>
      </c>
      <c r="F129" s="403">
        <v>3590</v>
      </c>
      <c r="G129" s="403">
        <v>3295</v>
      </c>
      <c r="H129" s="403">
        <v>3075</v>
      </c>
      <c r="I129" s="403">
        <v>3030</v>
      </c>
      <c r="J129" s="404">
        <v>2925</v>
      </c>
      <c r="K129" s="405">
        <v>2660</v>
      </c>
      <c r="L129">
        <v>2405</v>
      </c>
      <c r="M129">
        <v>2190</v>
      </c>
      <c r="N129">
        <v>2025</v>
      </c>
      <c r="O129">
        <v>1840</v>
      </c>
      <c r="P129">
        <v>1685</v>
      </c>
    </row>
    <row r="130" spans="1:16">
      <c r="A130" s="406">
        <v>40</v>
      </c>
      <c r="B130" s="407">
        <v>0</v>
      </c>
      <c r="C130" s="407">
        <v>0</v>
      </c>
      <c r="D130" s="407">
        <v>0</v>
      </c>
      <c r="E130" s="407">
        <v>0</v>
      </c>
      <c r="F130" s="407">
        <v>0</v>
      </c>
      <c r="G130" s="407">
        <v>0</v>
      </c>
      <c r="H130" s="407">
        <v>0</v>
      </c>
      <c r="I130" s="407">
        <v>0</v>
      </c>
      <c r="J130" s="407">
        <v>0</v>
      </c>
      <c r="K130" s="408">
        <v>0</v>
      </c>
      <c r="L130">
        <v>0</v>
      </c>
      <c r="M130">
        <v>0</v>
      </c>
      <c r="N130">
        <v>0</v>
      </c>
      <c r="O130">
        <v>0</v>
      </c>
      <c r="P130">
        <v>0</v>
      </c>
    </row>
    <row r="131" spans="1:16">
      <c r="A131" s="406">
        <v>50</v>
      </c>
      <c r="B131" s="407">
        <v>0</v>
      </c>
      <c r="C131" s="407">
        <v>0</v>
      </c>
      <c r="D131" s="407">
        <v>0</v>
      </c>
      <c r="E131" s="407">
        <v>0</v>
      </c>
      <c r="F131" s="407">
        <v>0</v>
      </c>
      <c r="G131" s="407">
        <v>0</v>
      </c>
      <c r="H131" s="407">
        <v>0</v>
      </c>
      <c r="I131" s="407">
        <v>0</v>
      </c>
      <c r="J131" s="407">
        <v>0</v>
      </c>
      <c r="K131" s="408">
        <v>0</v>
      </c>
      <c r="L131">
        <v>0</v>
      </c>
      <c r="M131">
        <v>0</v>
      </c>
      <c r="N131">
        <v>0</v>
      </c>
      <c r="O131">
        <v>0</v>
      </c>
      <c r="P131">
        <v>0</v>
      </c>
    </row>
    <row r="132" spans="1:16">
      <c r="A132" s="406">
        <v>60</v>
      </c>
      <c r="B132" s="407">
        <v>715</v>
      </c>
      <c r="C132" s="407">
        <v>825</v>
      </c>
      <c r="D132" s="407">
        <v>725</v>
      </c>
      <c r="E132" s="407">
        <v>640</v>
      </c>
      <c r="F132" s="407">
        <v>585</v>
      </c>
      <c r="G132" s="407">
        <v>345</v>
      </c>
      <c r="H132" s="407">
        <v>200</v>
      </c>
      <c r="I132" s="407">
        <v>115</v>
      </c>
      <c r="J132" s="407">
        <v>10</v>
      </c>
      <c r="K132" s="408">
        <v>0</v>
      </c>
      <c r="L132">
        <v>0</v>
      </c>
      <c r="M132">
        <v>0</v>
      </c>
      <c r="N132">
        <v>0</v>
      </c>
      <c r="O132">
        <v>0</v>
      </c>
      <c r="P132">
        <v>0</v>
      </c>
    </row>
    <row r="133" spans="1:16">
      <c r="A133" s="406">
        <v>70</v>
      </c>
      <c r="B133" s="407">
        <v>1410</v>
      </c>
      <c r="C133" s="407">
        <v>1535</v>
      </c>
      <c r="D133" s="407">
        <v>1405</v>
      </c>
      <c r="E133" s="407">
        <v>1280</v>
      </c>
      <c r="F133" s="407">
        <v>1180</v>
      </c>
      <c r="G133" s="407">
        <v>895</v>
      </c>
      <c r="H133" s="407">
        <v>740</v>
      </c>
      <c r="I133" s="407">
        <v>645</v>
      </c>
      <c r="J133" s="407">
        <v>520</v>
      </c>
      <c r="K133" s="408">
        <v>415</v>
      </c>
      <c r="L133">
        <v>40</v>
      </c>
      <c r="M133">
        <v>40</v>
      </c>
      <c r="N133">
        <v>0</v>
      </c>
      <c r="O133">
        <v>0</v>
      </c>
      <c r="P133">
        <v>0</v>
      </c>
    </row>
    <row r="134" spans="1:16">
      <c r="A134" s="406">
        <v>80</v>
      </c>
      <c r="B134" s="407">
        <v>2105</v>
      </c>
      <c r="C134" s="407">
        <v>2240</v>
      </c>
      <c r="D134" s="407">
        <v>2090</v>
      </c>
      <c r="E134" s="407">
        <v>1915</v>
      </c>
      <c r="F134" s="407">
        <v>1785</v>
      </c>
      <c r="G134" s="407">
        <v>1455</v>
      </c>
      <c r="H134" s="407">
        <v>1260</v>
      </c>
      <c r="I134" s="407">
        <v>1120</v>
      </c>
      <c r="J134" s="407">
        <v>955</v>
      </c>
      <c r="K134" s="408">
        <v>800</v>
      </c>
      <c r="L134">
        <v>330</v>
      </c>
      <c r="M134">
        <v>160</v>
      </c>
      <c r="N134">
        <v>100</v>
      </c>
      <c r="O134">
        <v>50</v>
      </c>
      <c r="P134">
        <v>35</v>
      </c>
    </row>
    <row r="135" spans="1:16">
      <c r="A135" s="406">
        <v>90</v>
      </c>
      <c r="B135" s="407">
        <v>2805</v>
      </c>
      <c r="C135" s="407">
        <v>2960</v>
      </c>
      <c r="D135" s="407">
        <v>2775</v>
      </c>
      <c r="E135" s="407">
        <v>2560</v>
      </c>
      <c r="F135" s="407">
        <v>2400</v>
      </c>
      <c r="G135" s="407">
        <v>2020</v>
      </c>
      <c r="H135" s="407">
        <v>1780</v>
      </c>
      <c r="I135" s="407">
        <v>1605</v>
      </c>
      <c r="J135" s="407">
        <v>1395</v>
      </c>
      <c r="K135" s="408">
        <v>1195</v>
      </c>
      <c r="L135">
        <v>875</v>
      </c>
      <c r="M135">
        <v>665</v>
      </c>
      <c r="N135">
        <v>495</v>
      </c>
      <c r="O135">
        <v>300</v>
      </c>
      <c r="P135">
        <v>145</v>
      </c>
    </row>
    <row r="136" spans="1:16">
      <c r="A136" s="406">
        <v>100</v>
      </c>
      <c r="B136" s="407">
        <v>3500</v>
      </c>
      <c r="C136" s="407">
        <v>3675</v>
      </c>
      <c r="D136" s="407">
        <v>3460</v>
      </c>
      <c r="E136" s="407">
        <v>3200</v>
      </c>
      <c r="F136" s="407">
        <v>3010</v>
      </c>
      <c r="G136" s="407">
        <v>2585</v>
      </c>
      <c r="H136" s="407">
        <v>2300</v>
      </c>
      <c r="I136" s="407">
        <v>2085</v>
      </c>
      <c r="J136" s="407">
        <v>1840</v>
      </c>
      <c r="K136" s="408">
        <v>1590</v>
      </c>
      <c r="L136">
        <v>1330</v>
      </c>
      <c r="M136">
        <v>1120</v>
      </c>
      <c r="N136">
        <v>930</v>
      </c>
      <c r="O136">
        <v>710</v>
      </c>
      <c r="P136">
        <v>535</v>
      </c>
    </row>
    <row r="137" spans="1:16">
      <c r="A137" s="406">
        <v>110</v>
      </c>
      <c r="B137" s="407">
        <v>4200</v>
      </c>
      <c r="C137" s="407">
        <v>4400</v>
      </c>
      <c r="D137" s="407">
        <v>4150</v>
      </c>
      <c r="E137" s="407">
        <v>3850</v>
      </c>
      <c r="F137" s="407">
        <v>3620</v>
      </c>
      <c r="G137" s="407">
        <v>3150</v>
      </c>
      <c r="H137" s="407">
        <v>2815</v>
      </c>
      <c r="I137" s="407">
        <v>2570</v>
      </c>
      <c r="J137" s="407">
        <v>2285</v>
      </c>
      <c r="K137" s="408">
        <v>1990</v>
      </c>
      <c r="L137">
        <v>1695</v>
      </c>
      <c r="M137">
        <v>1455</v>
      </c>
      <c r="N137">
        <v>1260</v>
      </c>
      <c r="O137">
        <v>1050</v>
      </c>
      <c r="P137">
        <v>880</v>
      </c>
    </row>
    <row r="138" spans="1:16">
      <c r="A138" s="406">
        <v>120</v>
      </c>
      <c r="B138" s="407">
        <v>4895</v>
      </c>
      <c r="C138" s="407">
        <v>5125</v>
      </c>
      <c r="D138" s="407">
        <v>4845</v>
      </c>
      <c r="E138" s="407">
        <v>4500</v>
      </c>
      <c r="F138" s="407">
        <v>4230</v>
      </c>
      <c r="G138" s="407">
        <v>3710</v>
      </c>
      <c r="H138" s="407">
        <v>3335</v>
      </c>
      <c r="I138" s="407">
        <v>3050</v>
      </c>
      <c r="J138" s="407">
        <v>2730</v>
      </c>
      <c r="K138" s="408">
        <v>2390</v>
      </c>
      <c r="L138">
        <v>2055</v>
      </c>
      <c r="M138">
        <v>1780</v>
      </c>
      <c r="N138">
        <v>1560</v>
      </c>
      <c r="O138">
        <v>1330</v>
      </c>
      <c r="P138">
        <v>1140</v>
      </c>
    </row>
    <row r="139" spans="1:16">
      <c r="A139" s="406">
        <v>130</v>
      </c>
      <c r="B139" s="407">
        <v>5595</v>
      </c>
      <c r="C139" s="407">
        <v>5845</v>
      </c>
      <c r="D139" s="407">
        <v>5545</v>
      </c>
      <c r="E139" s="407">
        <v>5150</v>
      </c>
      <c r="F139" s="407">
        <v>4840</v>
      </c>
      <c r="G139" s="407">
        <v>4275</v>
      </c>
      <c r="H139" s="407">
        <v>3855</v>
      </c>
      <c r="I139" s="407">
        <v>3530</v>
      </c>
      <c r="J139" s="407">
        <v>3175</v>
      </c>
      <c r="K139" s="408">
        <v>2785</v>
      </c>
      <c r="L139">
        <v>2415</v>
      </c>
      <c r="M139">
        <v>2105</v>
      </c>
      <c r="N139">
        <v>1855</v>
      </c>
      <c r="O139">
        <v>1605</v>
      </c>
      <c r="P139">
        <v>1390</v>
      </c>
    </row>
    <row r="140" spans="1:16">
      <c r="A140" s="412">
        <v>140</v>
      </c>
      <c r="B140" s="413">
        <v>6300</v>
      </c>
      <c r="C140" s="413">
        <v>6570</v>
      </c>
      <c r="D140" s="413">
        <v>6240</v>
      </c>
      <c r="E140" s="413">
        <v>5800</v>
      </c>
      <c r="F140" s="413">
        <v>5450</v>
      </c>
      <c r="G140" s="413">
        <v>4840</v>
      </c>
      <c r="H140" s="413">
        <v>4375</v>
      </c>
      <c r="I140" s="413">
        <v>4015</v>
      </c>
      <c r="J140" s="413">
        <v>3620</v>
      </c>
      <c r="K140" s="414">
        <v>3185</v>
      </c>
      <c r="L140">
        <v>2775</v>
      </c>
      <c r="M140">
        <v>2435</v>
      </c>
      <c r="N140">
        <v>2155</v>
      </c>
      <c r="O140">
        <v>1875</v>
      </c>
      <c r="P140">
        <v>1640</v>
      </c>
    </row>
    <row r="142" spans="1:16" ht="18.75">
      <c r="A142" s="398" t="s">
        <v>521</v>
      </c>
    </row>
    <row r="143" spans="1:16">
      <c r="A143" s="399" t="s">
        <v>511</v>
      </c>
      <c r="B143" s="400" t="s">
        <v>2</v>
      </c>
      <c r="C143" s="400" t="s">
        <v>3</v>
      </c>
      <c r="D143" s="400" t="s">
        <v>4</v>
      </c>
      <c r="E143" s="400" t="s">
        <v>5</v>
      </c>
      <c r="F143" s="400" t="s">
        <v>6</v>
      </c>
      <c r="G143" s="400" t="s">
        <v>7</v>
      </c>
      <c r="H143" s="400" t="s">
        <v>8</v>
      </c>
      <c r="I143" s="400" t="s">
        <v>9</v>
      </c>
      <c r="J143" s="400" t="s">
        <v>21</v>
      </c>
      <c r="K143" s="401" t="s">
        <v>35</v>
      </c>
      <c r="L143" s="401" t="s">
        <v>36</v>
      </c>
      <c r="M143" s="401" t="s">
        <v>37</v>
      </c>
      <c r="N143" s="401" t="s">
        <v>38</v>
      </c>
      <c r="O143" s="401" t="s">
        <v>39</v>
      </c>
      <c r="P143" s="401" t="s">
        <v>40</v>
      </c>
    </row>
    <row r="144" spans="1:16">
      <c r="A144" s="402" t="s">
        <v>512</v>
      </c>
      <c r="B144" s="403">
        <v>1260</v>
      </c>
      <c r="C144" s="403">
        <v>3020</v>
      </c>
      <c r="D144" s="403">
        <v>3010</v>
      </c>
      <c r="E144" s="403">
        <v>3380</v>
      </c>
      <c r="F144" s="403">
        <v>3990</v>
      </c>
      <c r="G144" s="403">
        <v>3660</v>
      </c>
      <c r="H144" s="403">
        <v>3415</v>
      </c>
      <c r="I144" s="403">
        <v>3365</v>
      </c>
      <c r="J144" s="404">
        <v>3250</v>
      </c>
      <c r="K144" s="405">
        <v>2955</v>
      </c>
      <c r="L144">
        <v>2670</v>
      </c>
      <c r="M144">
        <v>2435</v>
      </c>
      <c r="N144">
        <v>2250</v>
      </c>
      <c r="O144">
        <v>2045</v>
      </c>
      <c r="P144">
        <v>1875</v>
      </c>
    </row>
    <row r="145" spans="1:16">
      <c r="A145" s="406">
        <v>40</v>
      </c>
      <c r="B145" s="407">
        <v>0</v>
      </c>
      <c r="C145" s="407">
        <v>0</v>
      </c>
      <c r="D145" s="407">
        <v>0</v>
      </c>
      <c r="E145" s="407">
        <v>0</v>
      </c>
      <c r="F145" s="407">
        <v>0</v>
      </c>
      <c r="G145" s="407">
        <v>0</v>
      </c>
      <c r="H145" s="407">
        <v>0</v>
      </c>
      <c r="I145" s="407">
        <v>0</v>
      </c>
      <c r="J145" s="407">
        <v>0</v>
      </c>
      <c r="K145" s="408">
        <v>0</v>
      </c>
      <c r="L145">
        <v>0</v>
      </c>
      <c r="M145">
        <v>0</v>
      </c>
      <c r="N145">
        <v>0</v>
      </c>
      <c r="O145">
        <v>0</v>
      </c>
      <c r="P145">
        <v>0</v>
      </c>
    </row>
    <row r="146" spans="1:16">
      <c r="A146" s="406">
        <v>50</v>
      </c>
      <c r="B146" s="407">
        <v>0</v>
      </c>
      <c r="C146" s="407">
        <v>0</v>
      </c>
      <c r="D146" s="407">
        <v>0</v>
      </c>
      <c r="E146" s="407">
        <v>0</v>
      </c>
      <c r="F146" s="407">
        <v>0</v>
      </c>
      <c r="G146" s="407">
        <v>0</v>
      </c>
      <c r="H146" s="407">
        <v>0</v>
      </c>
      <c r="I146" s="407">
        <v>0</v>
      </c>
      <c r="J146" s="407">
        <v>0</v>
      </c>
      <c r="K146" s="408">
        <v>0</v>
      </c>
      <c r="L146">
        <v>0</v>
      </c>
      <c r="M146">
        <v>0</v>
      </c>
      <c r="N146">
        <v>0</v>
      </c>
      <c r="O146">
        <v>0</v>
      </c>
      <c r="P146">
        <v>0</v>
      </c>
    </row>
    <row r="147" spans="1:16">
      <c r="A147" s="406">
        <v>60</v>
      </c>
      <c r="B147" s="407">
        <v>790</v>
      </c>
      <c r="C147" s="407">
        <v>920</v>
      </c>
      <c r="D147" s="407">
        <v>805</v>
      </c>
      <c r="E147" s="407">
        <v>710</v>
      </c>
      <c r="F147" s="407">
        <v>650</v>
      </c>
      <c r="G147" s="407">
        <v>385</v>
      </c>
      <c r="H147" s="407">
        <v>225</v>
      </c>
      <c r="I147" s="407">
        <v>135</v>
      </c>
      <c r="J147" s="407">
        <v>25</v>
      </c>
      <c r="K147" s="408">
        <v>0</v>
      </c>
      <c r="L147">
        <v>0</v>
      </c>
      <c r="M147">
        <v>0</v>
      </c>
      <c r="N147">
        <v>0</v>
      </c>
      <c r="O147">
        <v>0</v>
      </c>
      <c r="P147">
        <v>0</v>
      </c>
    </row>
    <row r="148" spans="1:16">
      <c r="A148" s="406">
        <v>70</v>
      </c>
      <c r="B148" s="407">
        <v>1565</v>
      </c>
      <c r="C148" s="407">
        <v>1705</v>
      </c>
      <c r="D148" s="407">
        <v>1560</v>
      </c>
      <c r="E148" s="407">
        <v>1420</v>
      </c>
      <c r="F148" s="407">
        <v>1310</v>
      </c>
      <c r="G148" s="407">
        <v>995</v>
      </c>
      <c r="H148" s="407">
        <v>825</v>
      </c>
      <c r="I148" s="407">
        <v>715</v>
      </c>
      <c r="J148" s="407">
        <v>580</v>
      </c>
      <c r="K148" s="408">
        <v>460</v>
      </c>
      <c r="L148">
        <v>55</v>
      </c>
      <c r="M148">
        <v>40</v>
      </c>
      <c r="N148">
        <v>0</v>
      </c>
      <c r="O148">
        <v>0</v>
      </c>
      <c r="P148">
        <v>0</v>
      </c>
    </row>
    <row r="149" spans="1:16">
      <c r="A149" s="406">
        <v>80</v>
      </c>
      <c r="B149" s="407">
        <v>2340</v>
      </c>
      <c r="C149" s="407">
        <v>2490</v>
      </c>
      <c r="D149" s="407">
        <v>2320</v>
      </c>
      <c r="E149" s="407">
        <v>2130</v>
      </c>
      <c r="F149" s="407">
        <v>1985</v>
      </c>
      <c r="G149" s="407">
        <v>1620</v>
      </c>
      <c r="H149" s="407">
        <v>1400</v>
      </c>
      <c r="I149" s="407">
        <v>1245</v>
      </c>
      <c r="J149" s="407">
        <v>1065</v>
      </c>
      <c r="K149" s="408">
        <v>890</v>
      </c>
      <c r="L149">
        <v>395</v>
      </c>
      <c r="M149">
        <v>210</v>
      </c>
      <c r="N149">
        <v>115</v>
      </c>
      <c r="O149">
        <v>60</v>
      </c>
      <c r="P149">
        <v>45</v>
      </c>
    </row>
    <row r="150" spans="1:16">
      <c r="A150" s="406">
        <v>90</v>
      </c>
      <c r="B150" s="407">
        <v>3115</v>
      </c>
      <c r="C150" s="407">
        <v>3285</v>
      </c>
      <c r="D150" s="407">
        <v>3085</v>
      </c>
      <c r="E150" s="407">
        <v>2840</v>
      </c>
      <c r="F150" s="407">
        <v>2665</v>
      </c>
      <c r="G150" s="407">
        <v>2245</v>
      </c>
      <c r="H150" s="407">
        <v>1975</v>
      </c>
      <c r="I150" s="407">
        <v>1780</v>
      </c>
      <c r="J150" s="407">
        <v>1555</v>
      </c>
      <c r="K150" s="408">
        <v>1325</v>
      </c>
      <c r="L150">
        <v>980</v>
      </c>
      <c r="M150">
        <v>755</v>
      </c>
      <c r="N150">
        <v>565</v>
      </c>
      <c r="O150">
        <v>360</v>
      </c>
      <c r="P150">
        <v>190</v>
      </c>
    </row>
    <row r="151" spans="1:16">
      <c r="A151" s="406">
        <v>100</v>
      </c>
      <c r="B151" s="407">
        <v>3890</v>
      </c>
      <c r="C151" s="407">
        <v>4085</v>
      </c>
      <c r="D151" s="407">
        <v>3845</v>
      </c>
      <c r="E151" s="407">
        <v>3555</v>
      </c>
      <c r="F151" s="407">
        <v>3340</v>
      </c>
      <c r="G151" s="407">
        <v>2870</v>
      </c>
      <c r="H151" s="407">
        <v>2555</v>
      </c>
      <c r="I151" s="407">
        <v>2320</v>
      </c>
      <c r="J151" s="407">
        <v>2045</v>
      </c>
      <c r="K151" s="408">
        <v>1770</v>
      </c>
      <c r="L151">
        <v>1480</v>
      </c>
      <c r="M151">
        <v>1245</v>
      </c>
      <c r="N151">
        <v>1035</v>
      </c>
      <c r="O151">
        <v>800</v>
      </c>
      <c r="P151">
        <v>605</v>
      </c>
    </row>
    <row r="152" spans="1:16">
      <c r="A152" s="406">
        <v>110</v>
      </c>
      <c r="B152" s="407">
        <v>4665</v>
      </c>
      <c r="C152" s="407">
        <v>4885</v>
      </c>
      <c r="D152" s="407">
        <v>4610</v>
      </c>
      <c r="E152" s="407">
        <v>4280</v>
      </c>
      <c r="F152" s="407">
        <v>4020</v>
      </c>
      <c r="G152" s="407">
        <v>3495</v>
      </c>
      <c r="H152" s="407">
        <v>3130</v>
      </c>
      <c r="I152" s="407">
        <v>2855</v>
      </c>
      <c r="J152" s="407">
        <v>2540</v>
      </c>
      <c r="K152" s="408">
        <v>2210</v>
      </c>
      <c r="L152">
        <v>1885</v>
      </c>
      <c r="M152">
        <v>1615</v>
      </c>
      <c r="N152">
        <v>1400</v>
      </c>
      <c r="O152">
        <v>1170</v>
      </c>
      <c r="P152">
        <v>980</v>
      </c>
    </row>
    <row r="153" spans="1:16">
      <c r="A153" s="406">
        <v>120</v>
      </c>
      <c r="B153" s="407">
        <v>5440</v>
      </c>
      <c r="C153" s="407">
        <v>5690</v>
      </c>
      <c r="D153" s="407">
        <v>5385</v>
      </c>
      <c r="E153" s="407">
        <v>5000</v>
      </c>
      <c r="F153" s="407">
        <v>4700</v>
      </c>
      <c r="G153" s="407">
        <v>4125</v>
      </c>
      <c r="H153" s="407">
        <v>3705</v>
      </c>
      <c r="I153" s="407">
        <v>3390</v>
      </c>
      <c r="J153" s="407">
        <v>3035</v>
      </c>
      <c r="K153" s="408">
        <v>2655</v>
      </c>
      <c r="L153">
        <v>2280</v>
      </c>
      <c r="M153">
        <v>1975</v>
      </c>
      <c r="N153">
        <v>1730</v>
      </c>
      <c r="O153">
        <v>1480</v>
      </c>
      <c r="P153">
        <v>1265</v>
      </c>
    </row>
    <row r="154" spans="1:16">
      <c r="A154" s="406">
        <v>130</v>
      </c>
      <c r="B154" s="407">
        <v>6215</v>
      </c>
      <c r="C154" s="407">
        <v>6495</v>
      </c>
      <c r="D154" s="407">
        <v>6155</v>
      </c>
      <c r="E154" s="407">
        <v>5720</v>
      </c>
      <c r="F154" s="407">
        <v>5375</v>
      </c>
      <c r="G154" s="407">
        <v>4750</v>
      </c>
      <c r="H154" s="407">
        <v>4285</v>
      </c>
      <c r="I154" s="407">
        <v>3925</v>
      </c>
      <c r="J154" s="407">
        <v>3530</v>
      </c>
      <c r="K154" s="408">
        <v>3095</v>
      </c>
      <c r="L154">
        <v>2680</v>
      </c>
      <c r="M154">
        <v>2340</v>
      </c>
      <c r="N154">
        <v>2060</v>
      </c>
      <c r="O154">
        <v>1780</v>
      </c>
      <c r="P154">
        <v>1545</v>
      </c>
    </row>
    <row r="155" spans="1:16">
      <c r="A155" s="412">
        <v>140</v>
      </c>
      <c r="B155" s="413">
        <v>7000</v>
      </c>
      <c r="C155" s="413">
        <v>7300</v>
      </c>
      <c r="D155" s="413">
        <v>6930</v>
      </c>
      <c r="E155" s="413">
        <v>6445</v>
      </c>
      <c r="F155" s="413">
        <v>6055</v>
      </c>
      <c r="G155" s="413">
        <v>5375</v>
      </c>
      <c r="H155" s="413">
        <v>4865</v>
      </c>
      <c r="I155" s="413">
        <v>4460</v>
      </c>
      <c r="J155" s="413">
        <v>4025</v>
      </c>
      <c r="K155" s="414">
        <v>3540</v>
      </c>
      <c r="L155">
        <v>3085</v>
      </c>
      <c r="M155">
        <v>2705</v>
      </c>
      <c r="N155">
        <v>2395</v>
      </c>
      <c r="O155">
        <v>2085</v>
      </c>
      <c r="P155">
        <v>1825</v>
      </c>
    </row>
    <row r="157" spans="1:16" ht="18.75">
      <c r="A157" s="398" t="s">
        <v>522</v>
      </c>
    </row>
    <row r="158" spans="1:16">
      <c r="A158" s="399" t="s">
        <v>511</v>
      </c>
      <c r="B158" s="400" t="s">
        <v>2</v>
      </c>
      <c r="C158" s="400" t="s">
        <v>3</v>
      </c>
      <c r="D158" s="400" t="s">
        <v>4</v>
      </c>
      <c r="E158" s="400" t="s">
        <v>5</v>
      </c>
      <c r="F158" s="400" t="s">
        <v>6</v>
      </c>
      <c r="G158" s="400" t="s">
        <v>7</v>
      </c>
      <c r="H158" s="400" t="s">
        <v>8</v>
      </c>
      <c r="I158" s="400" t="s">
        <v>9</v>
      </c>
      <c r="J158" s="400" t="s">
        <v>21</v>
      </c>
      <c r="K158" s="401" t="s">
        <v>35</v>
      </c>
      <c r="L158" s="401" t="s">
        <v>36</v>
      </c>
      <c r="M158" s="401" t="s">
        <v>37</v>
      </c>
      <c r="N158" s="401" t="s">
        <v>38</v>
      </c>
      <c r="O158" s="401" t="s">
        <v>39</v>
      </c>
      <c r="P158" s="401" t="s">
        <v>40</v>
      </c>
    </row>
    <row r="159" spans="1:16">
      <c r="A159" s="402" t="s">
        <v>512</v>
      </c>
      <c r="B159" s="403">
        <v>1385</v>
      </c>
      <c r="C159" s="403">
        <v>3320</v>
      </c>
      <c r="D159" s="403">
        <v>3310</v>
      </c>
      <c r="E159" s="403">
        <v>3715</v>
      </c>
      <c r="F159" s="403">
        <v>4385</v>
      </c>
      <c r="G159" s="403">
        <v>4025</v>
      </c>
      <c r="H159" s="403">
        <v>3755</v>
      </c>
      <c r="I159" s="403">
        <v>3705</v>
      </c>
      <c r="J159" s="404">
        <v>3575</v>
      </c>
      <c r="K159" s="405">
        <v>3250</v>
      </c>
      <c r="L159">
        <v>2935</v>
      </c>
      <c r="M159">
        <v>2680</v>
      </c>
      <c r="N159">
        <v>2475</v>
      </c>
      <c r="O159">
        <v>2250</v>
      </c>
      <c r="P159">
        <v>2060</v>
      </c>
    </row>
    <row r="160" spans="1:16">
      <c r="A160" s="406">
        <v>40</v>
      </c>
      <c r="B160" s="407">
        <v>0</v>
      </c>
      <c r="C160" s="407">
        <v>0</v>
      </c>
      <c r="D160" s="407">
        <v>0</v>
      </c>
      <c r="E160" s="407">
        <v>0</v>
      </c>
      <c r="F160" s="407">
        <v>0</v>
      </c>
      <c r="G160" s="407">
        <v>0</v>
      </c>
      <c r="H160" s="407">
        <v>0</v>
      </c>
      <c r="I160" s="407">
        <v>0</v>
      </c>
      <c r="J160" s="407">
        <v>0</v>
      </c>
      <c r="K160" s="408">
        <v>0</v>
      </c>
      <c r="L160">
        <v>0</v>
      </c>
      <c r="M160">
        <v>0</v>
      </c>
      <c r="N160">
        <v>0</v>
      </c>
      <c r="O160">
        <v>0</v>
      </c>
      <c r="P160">
        <v>0</v>
      </c>
    </row>
    <row r="161" spans="1:16">
      <c r="A161" s="406">
        <v>50</v>
      </c>
      <c r="B161" s="407">
        <v>0</v>
      </c>
      <c r="C161" s="407">
        <v>0</v>
      </c>
      <c r="D161" s="407">
        <v>0</v>
      </c>
      <c r="E161" s="407">
        <v>0</v>
      </c>
      <c r="F161" s="407">
        <v>0</v>
      </c>
      <c r="G161" s="407">
        <v>0</v>
      </c>
      <c r="H161" s="407">
        <v>0</v>
      </c>
      <c r="I161" s="407">
        <v>0</v>
      </c>
      <c r="J161" s="407">
        <v>0</v>
      </c>
      <c r="K161" s="408">
        <v>0</v>
      </c>
      <c r="L161">
        <v>0</v>
      </c>
      <c r="M161">
        <v>0</v>
      </c>
      <c r="N161">
        <v>0</v>
      </c>
      <c r="O161">
        <v>0</v>
      </c>
      <c r="P161">
        <v>0</v>
      </c>
    </row>
    <row r="162" spans="1:16">
      <c r="A162" s="406">
        <v>60</v>
      </c>
      <c r="B162" s="407">
        <v>870</v>
      </c>
      <c r="C162" s="407">
        <v>1010</v>
      </c>
      <c r="D162" s="407">
        <v>885</v>
      </c>
      <c r="E162" s="407">
        <v>785</v>
      </c>
      <c r="F162" s="407">
        <v>715</v>
      </c>
      <c r="G162" s="407">
        <v>425</v>
      </c>
      <c r="H162" s="407">
        <v>250</v>
      </c>
      <c r="I162" s="407">
        <v>155</v>
      </c>
      <c r="J162" s="407">
        <v>35</v>
      </c>
      <c r="K162" s="408">
        <v>0</v>
      </c>
      <c r="L162">
        <v>0</v>
      </c>
      <c r="M162">
        <v>0</v>
      </c>
      <c r="N162">
        <v>0</v>
      </c>
      <c r="O162">
        <v>0</v>
      </c>
      <c r="P162">
        <v>0</v>
      </c>
    </row>
    <row r="163" spans="1:16">
      <c r="A163" s="406">
        <v>70</v>
      </c>
      <c r="B163" s="407">
        <v>1720</v>
      </c>
      <c r="C163" s="407">
        <v>1875</v>
      </c>
      <c r="D163" s="407">
        <v>1720</v>
      </c>
      <c r="E163" s="407">
        <v>1560</v>
      </c>
      <c r="F163" s="407">
        <v>1440</v>
      </c>
      <c r="G163" s="407">
        <v>1095</v>
      </c>
      <c r="H163" s="407">
        <v>905</v>
      </c>
      <c r="I163" s="407">
        <v>785</v>
      </c>
      <c r="J163" s="407">
        <v>640</v>
      </c>
      <c r="K163" s="408">
        <v>505</v>
      </c>
      <c r="L163">
        <v>70</v>
      </c>
      <c r="M163">
        <v>45</v>
      </c>
      <c r="N163">
        <v>0</v>
      </c>
      <c r="O163">
        <v>0</v>
      </c>
      <c r="P163">
        <v>0</v>
      </c>
    </row>
    <row r="164" spans="1:16">
      <c r="A164" s="406">
        <v>80</v>
      </c>
      <c r="B164" s="407">
        <v>2575</v>
      </c>
      <c r="C164" s="407">
        <v>2740</v>
      </c>
      <c r="D164" s="407">
        <v>2550</v>
      </c>
      <c r="E164" s="407">
        <v>2340</v>
      </c>
      <c r="F164" s="407">
        <v>2185</v>
      </c>
      <c r="G164" s="407">
        <v>1780</v>
      </c>
      <c r="H164" s="407">
        <v>1540</v>
      </c>
      <c r="I164" s="407">
        <v>1370</v>
      </c>
      <c r="J164" s="407">
        <v>1170</v>
      </c>
      <c r="K164" s="408">
        <v>980</v>
      </c>
      <c r="L164">
        <v>465</v>
      </c>
      <c r="M164">
        <v>265</v>
      </c>
      <c r="N164">
        <v>135</v>
      </c>
      <c r="O164">
        <v>75</v>
      </c>
      <c r="P164">
        <v>55</v>
      </c>
    </row>
    <row r="165" spans="1:16">
      <c r="A165" s="406">
        <v>90</v>
      </c>
      <c r="B165" s="407">
        <v>3425</v>
      </c>
      <c r="C165" s="407">
        <v>3615</v>
      </c>
      <c r="D165" s="407">
        <v>3390</v>
      </c>
      <c r="E165" s="407">
        <v>3125</v>
      </c>
      <c r="F165" s="407">
        <v>2930</v>
      </c>
      <c r="G165" s="407">
        <v>2470</v>
      </c>
      <c r="H165" s="407">
        <v>2175</v>
      </c>
      <c r="I165" s="407">
        <v>1960</v>
      </c>
      <c r="J165" s="407">
        <v>1710</v>
      </c>
      <c r="K165" s="408">
        <v>1460</v>
      </c>
      <c r="L165">
        <v>1090</v>
      </c>
      <c r="M165">
        <v>840</v>
      </c>
      <c r="N165">
        <v>640</v>
      </c>
      <c r="O165">
        <v>415</v>
      </c>
      <c r="P165">
        <v>235</v>
      </c>
    </row>
    <row r="166" spans="1:16">
      <c r="A166" s="406">
        <v>100</v>
      </c>
      <c r="B166" s="407">
        <v>4275</v>
      </c>
      <c r="C166" s="407">
        <v>4490</v>
      </c>
      <c r="D166" s="407">
        <v>4230</v>
      </c>
      <c r="E166" s="407">
        <v>3910</v>
      </c>
      <c r="F166" s="407">
        <v>3675</v>
      </c>
      <c r="G166" s="407">
        <v>3160</v>
      </c>
      <c r="H166" s="407">
        <v>2810</v>
      </c>
      <c r="I166" s="407">
        <v>2550</v>
      </c>
      <c r="J166" s="407">
        <v>2250</v>
      </c>
      <c r="K166" s="408">
        <v>1945</v>
      </c>
      <c r="L166">
        <v>1630</v>
      </c>
      <c r="M166">
        <v>1370</v>
      </c>
      <c r="N166">
        <v>1145</v>
      </c>
      <c r="O166">
        <v>885</v>
      </c>
      <c r="P166">
        <v>675</v>
      </c>
    </row>
    <row r="167" spans="1:16">
      <c r="A167" s="406">
        <v>110</v>
      </c>
      <c r="B167" s="407">
        <v>5130</v>
      </c>
      <c r="C167" s="407">
        <v>5375</v>
      </c>
      <c r="D167" s="407">
        <v>5070</v>
      </c>
      <c r="E167" s="407">
        <v>4705</v>
      </c>
      <c r="F167" s="407">
        <v>4420</v>
      </c>
      <c r="G167" s="407">
        <v>3845</v>
      </c>
      <c r="H167" s="407">
        <v>3445</v>
      </c>
      <c r="I167" s="407">
        <v>3140</v>
      </c>
      <c r="J167" s="407">
        <v>2795</v>
      </c>
      <c r="K167" s="408">
        <v>2430</v>
      </c>
      <c r="L167">
        <v>2070</v>
      </c>
      <c r="M167">
        <v>1780</v>
      </c>
      <c r="N167">
        <v>1540</v>
      </c>
      <c r="O167">
        <v>1290</v>
      </c>
      <c r="P167">
        <v>1080</v>
      </c>
    </row>
    <row r="168" spans="1:16">
      <c r="A168" s="406">
        <v>120</v>
      </c>
      <c r="B168" s="407">
        <v>5980</v>
      </c>
      <c r="C168" s="407">
        <v>6260</v>
      </c>
      <c r="D168" s="407">
        <v>5920</v>
      </c>
      <c r="E168" s="407">
        <v>5500</v>
      </c>
      <c r="F168" s="407">
        <v>5165</v>
      </c>
      <c r="G168" s="407">
        <v>4535</v>
      </c>
      <c r="H168" s="407">
        <v>4075</v>
      </c>
      <c r="I168" s="407">
        <v>3725</v>
      </c>
      <c r="J168" s="407">
        <v>3335</v>
      </c>
      <c r="K168" s="408">
        <v>2920</v>
      </c>
      <c r="L168">
        <v>2510</v>
      </c>
      <c r="M168">
        <v>2175</v>
      </c>
      <c r="N168">
        <v>1905</v>
      </c>
      <c r="O168">
        <v>1625</v>
      </c>
      <c r="P168">
        <v>1395</v>
      </c>
    </row>
    <row r="169" spans="1:16">
      <c r="A169" s="406">
        <v>130</v>
      </c>
      <c r="B169" s="407">
        <v>6835</v>
      </c>
      <c r="C169" s="407">
        <v>7140</v>
      </c>
      <c r="D169" s="407">
        <v>6770</v>
      </c>
      <c r="E169" s="407">
        <v>6290</v>
      </c>
      <c r="F169" s="407">
        <v>5915</v>
      </c>
      <c r="G169" s="407">
        <v>5225</v>
      </c>
      <c r="H169" s="407">
        <v>4710</v>
      </c>
      <c r="I169" s="407">
        <v>4315</v>
      </c>
      <c r="J169" s="407">
        <v>3880</v>
      </c>
      <c r="K169" s="408">
        <v>3405</v>
      </c>
      <c r="L169">
        <v>2950</v>
      </c>
      <c r="M169">
        <v>2575</v>
      </c>
      <c r="N169">
        <v>2270</v>
      </c>
      <c r="O169">
        <v>1960</v>
      </c>
      <c r="P169">
        <v>1700</v>
      </c>
    </row>
    <row r="170" spans="1:16">
      <c r="A170" s="412">
        <v>140</v>
      </c>
      <c r="B170" s="413">
        <v>7695</v>
      </c>
      <c r="C170" s="413">
        <v>8025</v>
      </c>
      <c r="D170" s="413">
        <v>7625</v>
      </c>
      <c r="E170" s="413">
        <v>7085</v>
      </c>
      <c r="F170" s="413">
        <v>6660</v>
      </c>
      <c r="G170" s="413">
        <v>5915</v>
      </c>
      <c r="H170" s="413">
        <v>5350</v>
      </c>
      <c r="I170" s="413">
        <v>4905</v>
      </c>
      <c r="J170" s="413">
        <v>4425</v>
      </c>
      <c r="K170" s="414">
        <v>3890</v>
      </c>
      <c r="L170">
        <v>3390</v>
      </c>
      <c r="M170">
        <v>2975</v>
      </c>
      <c r="N170">
        <v>2635</v>
      </c>
      <c r="O170">
        <v>2290</v>
      </c>
      <c r="P170">
        <v>2005</v>
      </c>
    </row>
    <row r="172" spans="1:16" ht="18.75">
      <c r="A172" s="398" t="s">
        <v>523</v>
      </c>
    </row>
    <row r="173" spans="1:16">
      <c r="A173" s="399" t="s">
        <v>511</v>
      </c>
      <c r="B173" s="400" t="s">
        <v>2</v>
      </c>
      <c r="C173" s="400" t="s">
        <v>3</v>
      </c>
      <c r="D173" s="400" t="s">
        <v>4</v>
      </c>
      <c r="E173" s="400" t="s">
        <v>5</v>
      </c>
      <c r="F173" s="400" t="s">
        <v>6</v>
      </c>
      <c r="G173" s="400" t="s">
        <v>7</v>
      </c>
      <c r="H173" s="400" t="s">
        <v>8</v>
      </c>
      <c r="I173" s="400" t="s">
        <v>9</v>
      </c>
      <c r="J173" s="400" t="s">
        <v>21</v>
      </c>
      <c r="K173" s="401" t="s">
        <v>35</v>
      </c>
      <c r="L173" s="401" t="s">
        <v>36</v>
      </c>
      <c r="M173" s="401" t="s">
        <v>37</v>
      </c>
      <c r="N173" s="401" t="s">
        <v>38</v>
      </c>
      <c r="O173" s="401" t="s">
        <v>39</v>
      </c>
      <c r="P173" s="401" t="s">
        <v>40</v>
      </c>
    </row>
    <row r="174" spans="1:16">
      <c r="A174" s="402" t="s">
        <v>512</v>
      </c>
      <c r="B174" s="403">
        <v>1510</v>
      </c>
      <c r="C174" s="403">
        <v>3620</v>
      </c>
      <c r="D174" s="403">
        <v>3610</v>
      </c>
      <c r="E174" s="403">
        <v>4050</v>
      </c>
      <c r="F174" s="403">
        <v>4785</v>
      </c>
      <c r="G174" s="403">
        <v>4390</v>
      </c>
      <c r="H174" s="403">
        <v>4095</v>
      </c>
      <c r="I174" s="403">
        <v>4040</v>
      </c>
      <c r="J174" s="404">
        <v>3895</v>
      </c>
      <c r="K174" s="405">
        <v>3545</v>
      </c>
      <c r="L174">
        <v>3205</v>
      </c>
      <c r="M174">
        <v>2920</v>
      </c>
      <c r="N174">
        <v>2695</v>
      </c>
      <c r="O174">
        <v>2450</v>
      </c>
      <c r="P174">
        <v>2245</v>
      </c>
    </row>
    <row r="175" spans="1:16">
      <c r="A175" s="406">
        <v>40</v>
      </c>
      <c r="B175" s="407">
        <v>0</v>
      </c>
      <c r="C175" s="407">
        <v>0</v>
      </c>
      <c r="D175" s="407">
        <v>0</v>
      </c>
      <c r="E175" s="407">
        <v>0</v>
      </c>
      <c r="F175" s="407">
        <v>0</v>
      </c>
      <c r="G175" s="407">
        <v>0</v>
      </c>
      <c r="H175" s="407">
        <v>0</v>
      </c>
      <c r="I175" s="407">
        <v>0</v>
      </c>
      <c r="J175" s="407">
        <v>0</v>
      </c>
      <c r="K175" s="408">
        <v>0</v>
      </c>
      <c r="L175">
        <v>0</v>
      </c>
      <c r="M175">
        <v>0</v>
      </c>
      <c r="N175">
        <v>0</v>
      </c>
      <c r="O175">
        <v>0</v>
      </c>
      <c r="P175">
        <v>0</v>
      </c>
    </row>
    <row r="176" spans="1:16">
      <c r="A176" s="406">
        <v>50</v>
      </c>
      <c r="B176" s="407">
        <v>0</v>
      </c>
      <c r="C176" s="407">
        <v>0</v>
      </c>
      <c r="D176" s="407">
        <v>0</v>
      </c>
      <c r="E176" s="407">
        <v>0</v>
      </c>
      <c r="F176" s="407">
        <v>0</v>
      </c>
      <c r="G176" s="407">
        <v>0</v>
      </c>
      <c r="H176" s="407">
        <v>0</v>
      </c>
      <c r="I176" s="407">
        <v>0</v>
      </c>
      <c r="J176" s="407">
        <v>0</v>
      </c>
      <c r="K176" s="408">
        <v>0</v>
      </c>
      <c r="L176">
        <v>0</v>
      </c>
      <c r="M176">
        <v>0</v>
      </c>
      <c r="N176">
        <v>0</v>
      </c>
      <c r="O176">
        <v>0</v>
      </c>
      <c r="P176">
        <v>0</v>
      </c>
    </row>
    <row r="177" spans="1:16">
      <c r="A177" s="406">
        <v>60</v>
      </c>
      <c r="B177" s="407">
        <v>950</v>
      </c>
      <c r="C177" s="407">
        <v>1100</v>
      </c>
      <c r="D177" s="407">
        <v>965</v>
      </c>
      <c r="E177" s="407">
        <v>855</v>
      </c>
      <c r="F177" s="407">
        <v>780</v>
      </c>
      <c r="G177" s="407">
        <v>460</v>
      </c>
      <c r="H177" s="407">
        <v>280</v>
      </c>
      <c r="I177" s="407">
        <v>175</v>
      </c>
      <c r="J177" s="407">
        <v>45</v>
      </c>
      <c r="K177" s="408">
        <v>0</v>
      </c>
      <c r="L177">
        <v>0</v>
      </c>
      <c r="M177">
        <v>0</v>
      </c>
      <c r="N177">
        <v>0</v>
      </c>
      <c r="O177">
        <v>0</v>
      </c>
      <c r="P177">
        <v>0</v>
      </c>
    </row>
    <row r="178" spans="1:16">
      <c r="A178" s="406">
        <v>70</v>
      </c>
      <c r="B178" s="407">
        <v>1875</v>
      </c>
      <c r="C178" s="407">
        <v>2045</v>
      </c>
      <c r="D178" s="407">
        <v>1875</v>
      </c>
      <c r="E178" s="407">
        <v>1705</v>
      </c>
      <c r="F178" s="407">
        <v>1570</v>
      </c>
      <c r="G178" s="407">
        <v>1195</v>
      </c>
      <c r="H178" s="407">
        <v>990</v>
      </c>
      <c r="I178" s="407">
        <v>855</v>
      </c>
      <c r="J178" s="407">
        <v>695</v>
      </c>
      <c r="K178" s="408">
        <v>550</v>
      </c>
      <c r="L178">
        <v>85</v>
      </c>
      <c r="M178">
        <v>55</v>
      </c>
      <c r="N178">
        <v>0</v>
      </c>
      <c r="O178">
        <v>0</v>
      </c>
      <c r="P178">
        <v>0</v>
      </c>
    </row>
    <row r="179" spans="1:16">
      <c r="A179" s="406">
        <v>80</v>
      </c>
      <c r="B179" s="407">
        <v>2805</v>
      </c>
      <c r="C179" s="407">
        <v>2985</v>
      </c>
      <c r="D179" s="407">
        <v>2780</v>
      </c>
      <c r="E179" s="407">
        <v>2555</v>
      </c>
      <c r="F179" s="407">
        <v>2380</v>
      </c>
      <c r="G179" s="407">
        <v>1940</v>
      </c>
      <c r="H179" s="407">
        <v>1680</v>
      </c>
      <c r="I179" s="407">
        <v>1495</v>
      </c>
      <c r="J179" s="407">
        <v>1275</v>
      </c>
      <c r="K179" s="408">
        <v>1070</v>
      </c>
      <c r="L179">
        <v>535</v>
      </c>
      <c r="M179">
        <v>315</v>
      </c>
      <c r="N179">
        <v>155</v>
      </c>
      <c r="O179">
        <v>90</v>
      </c>
      <c r="P179">
        <v>65</v>
      </c>
    </row>
    <row r="180" spans="1:16">
      <c r="A180" s="406">
        <v>90</v>
      </c>
      <c r="B180" s="407">
        <v>3735</v>
      </c>
      <c r="C180" s="407">
        <v>3940</v>
      </c>
      <c r="D180" s="407">
        <v>3695</v>
      </c>
      <c r="E180" s="407">
        <v>3410</v>
      </c>
      <c r="F180" s="407">
        <v>3195</v>
      </c>
      <c r="G180" s="407">
        <v>2695</v>
      </c>
      <c r="H180" s="407">
        <v>2370</v>
      </c>
      <c r="I180" s="407">
        <v>2140</v>
      </c>
      <c r="J180" s="407">
        <v>1865</v>
      </c>
      <c r="K180" s="408">
        <v>1590</v>
      </c>
      <c r="L180">
        <v>1200</v>
      </c>
      <c r="M180">
        <v>930</v>
      </c>
      <c r="N180">
        <v>710</v>
      </c>
      <c r="O180">
        <v>470</v>
      </c>
      <c r="P180">
        <v>275</v>
      </c>
    </row>
    <row r="181" spans="1:16">
      <c r="A181" s="406">
        <v>100</v>
      </c>
      <c r="B181" s="407">
        <v>4665</v>
      </c>
      <c r="C181" s="407">
        <v>4895</v>
      </c>
      <c r="D181" s="407">
        <v>4610</v>
      </c>
      <c r="E181" s="407">
        <v>4265</v>
      </c>
      <c r="F181" s="407">
        <v>4010</v>
      </c>
      <c r="G181" s="407">
        <v>3445</v>
      </c>
      <c r="H181" s="407">
        <v>3060</v>
      </c>
      <c r="I181" s="407">
        <v>2780</v>
      </c>
      <c r="J181" s="407">
        <v>2450</v>
      </c>
      <c r="K181" s="408">
        <v>2120</v>
      </c>
      <c r="L181">
        <v>1780</v>
      </c>
      <c r="M181">
        <v>1495</v>
      </c>
      <c r="N181">
        <v>1250</v>
      </c>
      <c r="O181">
        <v>970</v>
      </c>
      <c r="P181">
        <v>745</v>
      </c>
    </row>
    <row r="182" spans="1:16">
      <c r="A182" s="406">
        <v>110</v>
      </c>
      <c r="B182" s="407">
        <v>5590</v>
      </c>
      <c r="C182" s="407">
        <v>5860</v>
      </c>
      <c r="D182" s="407">
        <v>5530</v>
      </c>
      <c r="E182" s="407">
        <v>5130</v>
      </c>
      <c r="F182" s="407">
        <v>4820</v>
      </c>
      <c r="G182" s="407">
        <v>4195</v>
      </c>
      <c r="H182" s="407">
        <v>3755</v>
      </c>
      <c r="I182" s="407">
        <v>3420</v>
      </c>
      <c r="J182" s="407">
        <v>3045</v>
      </c>
      <c r="K182" s="408">
        <v>2650</v>
      </c>
      <c r="L182">
        <v>2260</v>
      </c>
      <c r="M182">
        <v>1940</v>
      </c>
      <c r="N182">
        <v>1680</v>
      </c>
      <c r="O182">
        <v>1405</v>
      </c>
      <c r="P182">
        <v>1180</v>
      </c>
    </row>
    <row r="183" spans="1:16">
      <c r="A183" s="406">
        <v>120</v>
      </c>
      <c r="B183" s="407">
        <v>6520</v>
      </c>
      <c r="C183" s="407">
        <v>6825</v>
      </c>
      <c r="D183" s="407">
        <v>6455</v>
      </c>
      <c r="E183" s="407">
        <v>5995</v>
      </c>
      <c r="F183" s="407">
        <v>5635</v>
      </c>
      <c r="G183" s="407">
        <v>4945</v>
      </c>
      <c r="H183" s="407">
        <v>4445</v>
      </c>
      <c r="I183" s="407">
        <v>4065</v>
      </c>
      <c r="J183" s="407">
        <v>3640</v>
      </c>
      <c r="K183" s="408">
        <v>3185</v>
      </c>
      <c r="L183">
        <v>2735</v>
      </c>
      <c r="M183">
        <v>2370</v>
      </c>
      <c r="N183">
        <v>2075</v>
      </c>
      <c r="O183">
        <v>1775</v>
      </c>
      <c r="P183">
        <v>1520</v>
      </c>
    </row>
    <row r="184" spans="1:16">
      <c r="A184" s="406">
        <v>130</v>
      </c>
      <c r="B184" s="407">
        <v>7450</v>
      </c>
      <c r="C184" s="407">
        <v>7785</v>
      </c>
      <c r="D184" s="407">
        <v>7385</v>
      </c>
      <c r="E184" s="407">
        <v>6860</v>
      </c>
      <c r="F184" s="407">
        <v>6450</v>
      </c>
      <c r="G184" s="407">
        <v>5695</v>
      </c>
      <c r="H184" s="407">
        <v>5140</v>
      </c>
      <c r="I184" s="407">
        <v>4705</v>
      </c>
      <c r="J184" s="407">
        <v>4230</v>
      </c>
      <c r="K184" s="408">
        <v>3715</v>
      </c>
      <c r="L184">
        <v>3220</v>
      </c>
      <c r="M184">
        <v>2805</v>
      </c>
      <c r="N184">
        <v>2475</v>
      </c>
      <c r="O184">
        <v>2140</v>
      </c>
      <c r="P184">
        <v>1855</v>
      </c>
    </row>
    <row r="185" spans="1:16">
      <c r="A185" s="412">
        <v>140</v>
      </c>
      <c r="B185" s="413">
        <v>8390</v>
      </c>
      <c r="C185" s="413">
        <v>8750</v>
      </c>
      <c r="D185" s="413">
        <v>8315</v>
      </c>
      <c r="E185" s="413">
        <v>7725</v>
      </c>
      <c r="F185" s="413">
        <v>7260</v>
      </c>
      <c r="G185" s="413">
        <v>6450</v>
      </c>
      <c r="H185" s="413">
        <v>5835</v>
      </c>
      <c r="I185" s="413">
        <v>5350</v>
      </c>
      <c r="J185" s="413">
        <v>4825</v>
      </c>
      <c r="K185" s="414">
        <v>4245</v>
      </c>
      <c r="L185">
        <v>3700</v>
      </c>
      <c r="M185">
        <v>3245</v>
      </c>
      <c r="N185">
        <v>2875</v>
      </c>
      <c r="O185">
        <v>2500</v>
      </c>
      <c r="P185">
        <v>2190</v>
      </c>
    </row>
    <row r="187" spans="1:16" ht="18.75">
      <c r="A187" s="398" t="s">
        <v>524</v>
      </c>
    </row>
    <row r="188" spans="1:16">
      <c r="A188" s="399" t="s">
        <v>511</v>
      </c>
      <c r="B188" s="400" t="s">
        <v>2</v>
      </c>
      <c r="C188" s="400" t="s">
        <v>3</v>
      </c>
      <c r="D188" s="400" t="s">
        <v>4</v>
      </c>
      <c r="E188" s="400" t="s">
        <v>5</v>
      </c>
      <c r="F188" s="400" t="s">
        <v>6</v>
      </c>
      <c r="G188" s="400" t="s">
        <v>7</v>
      </c>
      <c r="H188" s="400" t="s">
        <v>8</v>
      </c>
      <c r="I188" s="400" t="s">
        <v>9</v>
      </c>
      <c r="J188" s="400" t="s">
        <v>21</v>
      </c>
      <c r="K188" s="401" t="s">
        <v>35</v>
      </c>
      <c r="L188" s="401" t="s">
        <v>36</v>
      </c>
      <c r="M188" s="401" t="s">
        <v>37</v>
      </c>
      <c r="N188" s="401" t="s">
        <v>38</v>
      </c>
      <c r="O188" s="401" t="s">
        <v>39</v>
      </c>
      <c r="P188" s="401" t="s">
        <v>40</v>
      </c>
    </row>
    <row r="189" spans="1:16">
      <c r="A189" s="402" t="s">
        <v>512</v>
      </c>
      <c r="B189" s="403">
        <v>1630</v>
      </c>
      <c r="C189" s="403">
        <v>3920</v>
      </c>
      <c r="D189" s="403">
        <v>3910</v>
      </c>
      <c r="E189" s="403">
        <v>4390</v>
      </c>
      <c r="F189" s="403">
        <v>5185</v>
      </c>
      <c r="G189" s="403">
        <v>4755</v>
      </c>
      <c r="H189" s="403">
        <v>4435</v>
      </c>
      <c r="I189" s="403">
        <v>4375</v>
      </c>
      <c r="J189" s="404">
        <v>4220</v>
      </c>
      <c r="K189" s="405">
        <v>3840</v>
      </c>
      <c r="L189">
        <v>3470</v>
      </c>
      <c r="M189">
        <v>3165</v>
      </c>
      <c r="N189">
        <v>2920</v>
      </c>
      <c r="O189">
        <v>2655</v>
      </c>
      <c r="P189">
        <v>2435</v>
      </c>
    </row>
    <row r="190" spans="1:16">
      <c r="A190" s="406">
        <v>40</v>
      </c>
      <c r="B190" s="407">
        <v>0</v>
      </c>
      <c r="C190" s="407">
        <v>0</v>
      </c>
      <c r="D190" s="407">
        <v>0</v>
      </c>
      <c r="E190" s="407">
        <v>0</v>
      </c>
      <c r="F190" s="407">
        <v>0</v>
      </c>
      <c r="G190" s="407">
        <v>0</v>
      </c>
      <c r="H190" s="407">
        <v>0</v>
      </c>
      <c r="I190" s="407">
        <v>0</v>
      </c>
      <c r="J190" s="407">
        <v>0</v>
      </c>
      <c r="K190" s="408">
        <v>0</v>
      </c>
      <c r="L190">
        <v>0</v>
      </c>
      <c r="M190">
        <v>0</v>
      </c>
      <c r="N190">
        <v>0</v>
      </c>
      <c r="O190">
        <v>0</v>
      </c>
      <c r="P190">
        <v>0</v>
      </c>
    </row>
    <row r="191" spans="1:16">
      <c r="A191" s="406">
        <v>50</v>
      </c>
      <c r="B191" s="407">
        <v>0</v>
      </c>
      <c r="C191" s="407">
        <v>0</v>
      </c>
      <c r="D191" s="407">
        <v>0</v>
      </c>
      <c r="E191" s="407">
        <v>0</v>
      </c>
      <c r="F191" s="407">
        <v>0</v>
      </c>
      <c r="G191" s="407">
        <v>0</v>
      </c>
      <c r="H191" s="407">
        <v>0</v>
      </c>
      <c r="I191" s="407">
        <v>0</v>
      </c>
      <c r="J191" s="407">
        <v>0</v>
      </c>
      <c r="K191" s="408">
        <v>0</v>
      </c>
      <c r="L191">
        <v>0</v>
      </c>
      <c r="M191">
        <v>0</v>
      </c>
      <c r="N191">
        <v>0</v>
      </c>
      <c r="O191">
        <v>0</v>
      </c>
      <c r="P191">
        <v>0</v>
      </c>
    </row>
    <row r="192" spans="1:16">
      <c r="A192" s="406">
        <v>60</v>
      </c>
      <c r="B192" s="407">
        <v>1025</v>
      </c>
      <c r="C192" s="407">
        <v>1190</v>
      </c>
      <c r="D192" s="407">
        <v>1045</v>
      </c>
      <c r="E192" s="407">
        <v>925</v>
      </c>
      <c r="F192" s="407">
        <v>845</v>
      </c>
      <c r="G192" s="407">
        <v>500</v>
      </c>
      <c r="H192" s="407">
        <v>305</v>
      </c>
      <c r="I192" s="407">
        <v>195</v>
      </c>
      <c r="J192" s="407">
        <v>60</v>
      </c>
      <c r="K192" s="408">
        <v>5</v>
      </c>
      <c r="L192">
        <v>0</v>
      </c>
      <c r="M192">
        <v>0</v>
      </c>
      <c r="N192">
        <v>0</v>
      </c>
      <c r="O192">
        <v>0</v>
      </c>
      <c r="P192">
        <v>0</v>
      </c>
    </row>
    <row r="193" spans="1:16">
      <c r="A193" s="406">
        <v>70</v>
      </c>
      <c r="B193" s="407">
        <v>2030</v>
      </c>
      <c r="C193" s="407">
        <v>2215</v>
      </c>
      <c r="D193" s="407">
        <v>2030</v>
      </c>
      <c r="E193" s="407">
        <v>1845</v>
      </c>
      <c r="F193" s="407">
        <v>1700</v>
      </c>
      <c r="G193" s="407">
        <v>1290</v>
      </c>
      <c r="H193" s="407">
        <v>1070</v>
      </c>
      <c r="I193" s="407">
        <v>930</v>
      </c>
      <c r="J193" s="407">
        <v>755</v>
      </c>
      <c r="K193" s="408">
        <v>600</v>
      </c>
      <c r="L193">
        <v>105</v>
      </c>
      <c r="M193">
        <v>65</v>
      </c>
      <c r="N193">
        <v>0</v>
      </c>
      <c r="O193">
        <v>0</v>
      </c>
      <c r="P193">
        <v>0</v>
      </c>
    </row>
    <row r="194" spans="1:16">
      <c r="A194" s="406">
        <v>80</v>
      </c>
      <c r="B194" s="407">
        <v>3040</v>
      </c>
      <c r="C194" s="407">
        <v>3235</v>
      </c>
      <c r="D194" s="407">
        <v>3015</v>
      </c>
      <c r="E194" s="407">
        <v>2765</v>
      </c>
      <c r="F194" s="407">
        <v>2580</v>
      </c>
      <c r="G194" s="407">
        <v>2105</v>
      </c>
      <c r="H194" s="407">
        <v>1815</v>
      </c>
      <c r="I194" s="407">
        <v>1620</v>
      </c>
      <c r="J194" s="407">
        <v>1380</v>
      </c>
      <c r="K194" s="408">
        <v>1155</v>
      </c>
      <c r="L194">
        <v>605</v>
      </c>
      <c r="M194">
        <v>370</v>
      </c>
      <c r="N194">
        <v>190</v>
      </c>
      <c r="O194">
        <v>100</v>
      </c>
      <c r="P194">
        <v>75</v>
      </c>
    </row>
    <row r="195" spans="1:16">
      <c r="A195" s="406">
        <v>90</v>
      </c>
      <c r="B195" s="407">
        <v>4045</v>
      </c>
      <c r="C195" s="407">
        <v>4270</v>
      </c>
      <c r="D195" s="407">
        <v>4005</v>
      </c>
      <c r="E195" s="407">
        <v>3690</v>
      </c>
      <c r="F195" s="407">
        <v>3460</v>
      </c>
      <c r="G195" s="407">
        <v>2915</v>
      </c>
      <c r="H195" s="407">
        <v>2565</v>
      </c>
      <c r="I195" s="407">
        <v>2315</v>
      </c>
      <c r="J195" s="407">
        <v>2015</v>
      </c>
      <c r="K195" s="408">
        <v>1725</v>
      </c>
      <c r="L195">
        <v>1305</v>
      </c>
      <c r="M195">
        <v>1020</v>
      </c>
      <c r="N195">
        <v>785</v>
      </c>
      <c r="O195">
        <v>530</v>
      </c>
      <c r="P195">
        <v>320</v>
      </c>
    </row>
    <row r="196" spans="1:16">
      <c r="A196" s="406">
        <v>100</v>
      </c>
      <c r="B196" s="407">
        <v>5050</v>
      </c>
      <c r="C196" s="407">
        <v>5305</v>
      </c>
      <c r="D196" s="407">
        <v>4995</v>
      </c>
      <c r="E196" s="407">
        <v>4620</v>
      </c>
      <c r="F196" s="407">
        <v>4340</v>
      </c>
      <c r="G196" s="407">
        <v>3730</v>
      </c>
      <c r="H196" s="407">
        <v>3315</v>
      </c>
      <c r="I196" s="407">
        <v>3010</v>
      </c>
      <c r="J196" s="407">
        <v>2655</v>
      </c>
      <c r="K196" s="408">
        <v>2300</v>
      </c>
      <c r="L196">
        <v>1925</v>
      </c>
      <c r="M196">
        <v>1620</v>
      </c>
      <c r="N196">
        <v>1355</v>
      </c>
      <c r="O196">
        <v>1060</v>
      </c>
      <c r="P196">
        <v>815</v>
      </c>
    </row>
    <row r="197" spans="1:16">
      <c r="A197" s="406">
        <v>110</v>
      </c>
      <c r="B197" s="407">
        <v>6055</v>
      </c>
      <c r="C197" s="407">
        <v>6345</v>
      </c>
      <c r="D197" s="407">
        <v>5990</v>
      </c>
      <c r="E197" s="407">
        <v>5560</v>
      </c>
      <c r="F197" s="407">
        <v>5225</v>
      </c>
      <c r="G197" s="407">
        <v>4545</v>
      </c>
      <c r="H197" s="407">
        <v>4065</v>
      </c>
      <c r="I197" s="407">
        <v>3705</v>
      </c>
      <c r="J197" s="407">
        <v>3300</v>
      </c>
      <c r="K197" s="408">
        <v>2875</v>
      </c>
      <c r="L197">
        <v>2445</v>
      </c>
      <c r="M197">
        <v>2100</v>
      </c>
      <c r="N197">
        <v>1815</v>
      </c>
      <c r="O197">
        <v>1525</v>
      </c>
      <c r="P197">
        <v>1280</v>
      </c>
    </row>
    <row r="198" spans="1:16">
      <c r="A198" s="406">
        <v>120</v>
      </c>
      <c r="B198" s="407">
        <v>7060</v>
      </c>
      <c r="C198" s="407">
        <v>7390</v>
      </c>
      <c r="D198" s="407">
        <v>6995</v>
      </c>
      <c r="E198" s="407">
        <v>6495</v>
      </c>
      <c r="F198" s="407">
        <v>6105</v>
      </c>
      <c r="G198" s="407">
        <v>5355</v>
      </c>
      <c r="H198" s="407">
        <v>4815</v>
      </c>
      <c r="I198" s="407">
        <v>4405</v>
      </c>
      <c r="J198" s="407">
        <v>3940</v>
      </c>
      <c r="K198" s="408">
        <v>3450</v>
      </c>
      <c r="L198">
        <v>2965</v>
      </c>
      <c r="M198">
        <v>2570</v>
      </c>
      <c r="N198">
        <v>2250</v>
      </c>
      <c r="O198">
        <v>1920</v>
      </c>
      <c r="P198">
        <v>1645</v>
      </c>
    </row>
    <row r="199" spans="1:16">
      <c r="A199" s="406">
        <v>130</v>
      </c>
      <c r="B199" s="407">
        <v>8075</v>
      </c>
      <c r="C199" s="407">
        <v>8435</v>
      </c>
      <c r="D199" s="407">
        <v>8000</v>
      </c>
      <c r="E199" s="407">
        <v>7435</v>
      </c>
      <c r="F199" s="407">
        <v>6985</v>
      </c>
      <c r="G199" s="407">
        <v>6170</v>
      </c>
      <c r="H199" s="407">
        <v>5570</v>
      </c>
      <c r="I199" s="407">
        <v>5100</v>
      </c>
      <c r="J199" s="407">
        <v>4585</v>
      </c>
      <c r="K199" s="408">
        <v>4020</v>
      </c>
      <c r="L199">
        <v>3485</v>
      </c>
      <c r="M199">
        <v>3040</v>
      </c>
      <c r="N199">
        <v>2680</v>
      </c>
      <c r="O199">
        <v>2315</v>
      </c>
      <c r="P199">
        <v>2010</v>
      </c>
    </row>
    <row r="200" spans="1:16">
      <c r="A200" s="412">
        <v>140</v>
      </c>
      <c r="B200" s="413">
        <v>9090</v>
      </c>
      <c r="C200" s="413">
        <v>9480</v>
      </c>
      <c r="D200" s="413">
        <v>9010</v>
      </c>
      <c r="E200" s="413">
        <v>8370</v>
      </c>
      <c r="F200" s="413">
        <v>7865</v>
      </c>
      <c r="G200" s="413">
        <v>6985</v>
      </c>
      <c r="H200" s="413">
        <v>6320</v>
      </c>
      <c r="I200" s="413">
        <v>5795</v>
      </c>
      <c r="J200" s="413">
        <v>5230</v>
      </c>
      <c r="K200" s="414">
        <v>4595</v>
      </c>
      <c r="L200">
        <v>4010</v>
      </c>
      <c r="M200">
        <v>3515</v>
      </c>
      <c r="N200">
        <v>3115</v>
      </c>
      <c r="O200">
        <v>2710</v>
      </c>
      <c r="P200">
        <v>2370</v>
      </c>
    </row>
  </sheetData>
  <sheetProtection password="CC29" sheet="1" objects="1" scenarios="1"/>
  <pageMargins left="0.25" right="0.25" top="0.75" bottom="0.75" header="0.3" footer="0.3"/>
  <pageSetup scale="87" fitToHeight="2" orientation="portrait" r:id="rId1"/>
  <headerFooter>
    <oddHeader>&amp;LAlaska Department of RevenueTax Division&amp;RPrinted:  &amp;D &amp;TPage: &amp;P of &amp;N</oddHeader>
  </headerFooter>
  <rowBreaks count="1" manualBreakCount="1">
    <brk id="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37"/>
  <sheetViews>
    <sheetView workbookViewId="0">
      <selection activeCell="B6" sqref="B6:S6"/>
    </sheetView>
  </sheetViews>
  <sheetFormatPr defaultRowHeight="15"/>
  <cols>
    <col min="1" max="1" width="18.42578125" customWidth="1"/>
    <col min="2" max="7" width="9.7109375" bestFit="1" customWidth="1"/>
    <col min="8" max="8" width="9.5703125" customWidth="1"/>
    <col min="9" max="11" width="9.7109375" bestFit="1" customWidth="1"/>
  </cols>
  <sheetData>
    <row r="1" spans="1:16" ht="17.25" customHeight="1">
      <c r="A1" s="398" t="s">
        <v>525</v>
      </c>
    </row>
    <row r="2" spans="1:16">
      <c r="A2" t="s">
        <v>509</v>
      </c>
    </row>
    <row r="4" spans="1:16">
      <c r="B4" s="109">
        <f>MAX(B6+B5,0)</f>
        <v>39.93446791806889</v>
      </c>
      <c r="C4" s="109">
        <f t="shared" ref="C4:P4" si="0">MAX(C6+C5,0)</f>
        <v>98.005515159447114</v>
      </c>
      <c r="D4" s="109">
        <f t="shared" si="0"/>
        <v>145.58843836067302</v>
      </c>
      <c r="E4" s="109">
        <f t="shared" si="0"/>
        <v>135.04097184424143</v>
      </c>
      <c r="F4" s="109">
        <f t="shared" si="0"/>
        <v>129.93143494744507</v>
      </c>
      <c r="G4" s="109">
        <f t="shared" si="0"/>
        <v>125.68262961439653</v>
      </c>
      <c r="H4" s="109">
        <f t="shared" si="0"/>
        <v>106.2965930535118</v>
      </c>
      <c r="I4" s="109">
        <f t="shared" si="0"/>
        <v>103.70918426159207</v>
      </c>
      <c r="J4" s="109">
        <f t="shared" si="0"/>
        <v>89.420187236479521</v>
      </c>
      <c r="K4" s="109">
        <f t="shared" si="0"/>
        <v>63.848004041075725</v>
      </c>
      <c r="L4" s="109">
        <f t="shared" si="0"/>
        <v>54.424685227562236</v>
      </c>
      <c r="M4" s="109">
        <f t="shared" si="0"/>
        <v>6.1595316916819911</v>
      </c>
      <c r="N4" s="109">
        <f t="shared" si="0"/>
        <v>3.8662637235001682</v>
      </c>
      <c r="O4" s="109">
        <f t="shared" si="0"/>
        <v>1.7698141136951762</v>
      </c>
      <c r="P4" s="109">
        <f t="shared" si="0"/>
        <v>3.8572005639694282</v>
      </c>
    </row>
    <row r="5" spans="1:16">
      <c r="B5">
        <f>(INDEX(B9:B20,'All Rev &amp; Projects'!$A$228)-B9)/0.35</f>
        <v>14.285714285714286</v>
      </c>
      <c r="C5">
        <f>(INDEX(C9:C20,'All Rev &amp; Projects'!$A$228)-C9)/0.35</f>
        <v>-71.428571428571431</v>
      </c>
      <c r="D5">
        <f>(INDEX(D9:D20,'All Rev &amp; Projects'!$A$228)-D9)/0.35</f>
        <v>-71.428571428571431</v>
      </c>
      <c r="E5">
        <f>(INDEX(E9:E20,'All Rev &amp; Projects'!$A$228)-E9)/0.35</f>
        <v>-71.428571428571431</v>
      </c>
      <c r="F5">
        <f>(INDEX(F9:F20,'All Rev &amp; Projects'!$A$228)-F9)/0.35</f>
        <v>-128.57142857142858</v>
      </c>
      <c r="G5">
        <f>(INDEX(G9:G20,'All Rev &amp; Projects'!$A$228)-G9)/0.35</f>
        <v>-114.28571428571429</v>
      </c>
      <c r="H5">
        <f>(INDEX(H9:H20,'All Rev &amp; Projects'!$A$228)-H9)/0.35</f>
        <v>-100</v>
      </c>
      <c r="I5">
        <f>(INDEX(I9:I20,'All Rev &amp; Projects'!$A$228)-I9)/0.35</f>
        <v>-100</v>
      </c>
      <c r="J5">
        <f>(INDEX(J9:J20,'All Rev &amp; Projects'!$A$228)-J9)/0.35</f>
        <v>-114.28571428571429</v>
      </c>
      <c r="K5">
        <f>(INDEX(K9:K20,'All Rev &amp; Projects'!$A$228)-K9)/0.35</f>
        <v>-114.28571428571429</v>
      </c>
      <c r="L5">
        <f>(INDEX(L9:L20,'All Rev &amp; Projects'!$A$228)-L9)/0.35</f>
        <v>-100</v>
      </c>
      <c r="M5">
        <f>(INDEX(M9:M20,'All Rev &amp; Projects'!$A$228)-M9)/0.35</f>
        <v>-128.57142857142858</v>
      </c>
      <c r="N5">
        <f>(INDEX(N9:N20,'All Rev &amp; Projects'!$A$228)-N9)/0.35</f>
        <v>-114.28571428571429</v>
      </c>
      <c r="O5">
        <f>(INDEX(O9:O20,'All Rev &amp; Projects'!$A$228)-O9)/0.35</f>
        <v>-100</v>
      </c>
      <c r="P5">
        <f>(INDEX(P9:P20,'All Rev &amp; Projects'!$A$228)-P9)/0.35</f>
        <v>-85.714285714285722</v>
      </c>
    </row>
    <row r="6" spans="1:16">
      <c r="B6" s="7">
        <v>25.648753632354602</v>
      </c>
      <c r="C6" s="7">
        <v>169.43408658801854</v>
      </c>
      <c r="D6" s="7">
        <v>217.01700978924444</v>
      </c>
      <c r="E6" s="7">
        <v>206.46954327281287</v>
      </c>
      <c r="F6" s="7">
        <v>258.50286351887365</v>
      </c>
      <c r="G6" s="7">
        <v>239.96834390011082</v>
      </c>
      <c r="H6" s="7">
        <v>206.2965930535118</v>
      </c>
      <c r="I6" s="7">
        <v>203.70918426159207</v>
      </c>
      <c r="J6" s="7">
        <v>203.70590152219381</v>
      </c>
      <c r="K6" s="7">
        <v>178.13371832679002</v>
      </c>
      <c r="L6" s="7">
        <v>154.42468522756224</v>
      </c>
      <c r="M6" s="7">
        <v>134.73096026311057</v>
      </c>
      <c r="N6" s="7">
        <v>118.15197800921446</v>
      </c>
      <c r="O6" s="7">
        <v>101.76981411369518</v>
      </c>
      <c r="P6" s="7">
        <v>89.571486278255151</v>
      </c>
    </row>
    <row r="7" spans="1:16" ht="18.75">
      <c r="A7" s="398" t="s">
        <v>526</v>
      </c>
    </row>
    <row r="8" spans="1:16">
      <c r="A8" s="399" t="s">
        <v>511</v>
      </c>
      <c r="B8" s="400" t="s">
        <v>2</v>
      </c>
      <c r="C8" s="400" t="s">
        <v>3</v>
      </c>
      <c r="D8" s="400" t="s">
        <v>4</v>
      </c>
      <c r="E8" s="400" t="s">
        <v>5</v>
      </c>
      <c r="F8" s="400" t="s">
        <v>6</v>
      </c>
      <c r="G8" s="400" t="s">
        <v>7</v>
      </c>
      <c r="H8" s="400" t="s">
        <v>8</v>
      </c>
      <c r="I8" s="400" t="s">
        <v>9</v>
      </c>
      <c r="J8" s="400" t="s">
        <v>21</v>
      </c>
      <c r="K8" s="401" t="s">
        <v>35</v>
      </c>
    </row>
    <row r="9" spans="1:16">
      <c r="A9" s="402" t="s">
        <v>512</v>
      </c>
      <c r="B9" s="403">
        <v>10</v>
      </c>
      <c r="C9" s="403">
        <v>60</v>
      </c>
      <c r="D9" s="403">
        <v>75</v>
      </c>
      <c r="E9" s="403">
        <v>70</v>
      </c>
      <c r="F9" s="403">
        <v>90</v>
      </c>
      <c r="G9" s="403">
        <v>85</v>
      </c>
      <c r="H9" s="403">
        <v>70</v>
      </c>
      <c r="I9" s="403">
        <v>70</v>
      </c>
      <c r="J9" s="404">
        <v>70</v>
      </c>
      <c r="K9" s="405">
        <v>60</v>
      </c>
      <c r="L9">
        <v>55</v>
      </c>
      <c r="M9">
        <v>45</v>
      </c>
      <c r="N9">
        <v>40</v>
      </c>
      <c r="O9">
        <v>35</v>
      </c>
      <c r="P9">
        <v>30</v>
      </c>
    </row>
    <row r="10" spans="1:16">
      <c r="A10" s="406">
        <v>40</v>
      </c>
      <c r="B10" s="407">
        <v>0</v>
      </c>
      <c r="C10" s="407">
        <v>0</v>
      </c>
      <c r="D10" s="407">
        <v>0</v>
      </c>
      <c r="E10" s="407">
        <v>0</v>
      </c>
      <c r="F10" s="407">
        <v>0</v>
      </c>
      <c r="G10" s="407">
        <v>0</v>
      </c>
      <c r="H10" s="407">
        <v>0</v>
      </c>
      <c r="I10" s="407">
        <v>0</v>
      </c>
      <c r="J10" s="407">
        <v>0</v>
      </c>
      <c r="K10" s="408">
        <v>0</v>
      </c>
      <c r="L10">
        <v>0</v>
      </c>
      <c r="M10">
        <v>0</v>
      </c>
      <c r="N10">
        <v>0</v>
      </c>
      <c r="O10">
        <v>0</v>
      </c>
      <c r="P10">
        <v>0</v>
      </c>
    </row>
    <row r="11" spans="1:16">
      <c r="A11" s="406">
        <v>50</v>
      </c>
      <c r="B11" s="407">
        <v>0</v>
      </c>
      <c r="C11" s="407">
        <v>0</v>
      </c>
      <c r="D11" s="407">
        <v>0</v>
      </c>
      <c r="E11" s="407">
        <v>0</v>
      </c>
      <c r="F11" s="407">
        <v>0</v>
      </c>
      <c r="G11" s="407">
        <v>0</v>
      </c>
      <c r="H11" s="407">
        <v>0</v>
      </c>
      <c r="I11" s="407">
        <v>0</v>
      </c>
      <c r="J11" s="407">
        <v>0</v>
      </c>
      <c r="K11" s="408">
        <v>0</v>
      </c>
      <c r="L11">
        <v>0</v>
      </c>
      <c r="M11">
        <v>0</v>
      </c>
      <c r="N11">
        <v>0</v>
      </c>
      <c r="O11">
        <v>0</v>
      </c>
      <c r="P11">
        <v>0</v>
      </c>
    </row>
    <row r="12" spans="1:16">
      <c r="A12" s="406">
        <v>60</v>
      </c>
      <c r="B12" s="407">
        <v>5</v>
      </c>
      <c r="C12" s="407">
        <v>25</v>
      </c>
      <c r="D12" s="407">
        <v>35</v>
      </c>
      <c r="E12" s="407">
        <v>35</v>
      </c>
      <c r="F12" s="407">
        <v>35</v>
      </c>
      <c r="G12" s="407">
        <v>30</v>
      </c>
      <c r="H12" s="407">
        <v>0</v>
      </c>
      <c r="I12" s="407">
        <v>0</v>
      </c>
      <c r="J12" s="407">
        <v>0</v>
      </c>
      <c r="K12" s="408">
        <v>0</v>
      </c>
      <c r="L12">
        <v>0</v>
      </c>
      <c r="M12">
        <v>0</v>
      </c>
      <c r="N12">
        <v>0</v>
      </c>
      <c r="O12">
        <v>0</v>
      </c>
      <c r="P12">
        <v>0</v>
      </c>
    </row>
    <row r="13" spans="1:16">
      <c r="A13" s="406">
        <v>70</v>
      </c>
      <c r="B13" s="407">
        <v>15</v>
      </c>
      <c r="C13" s="407">
        <v>35</v>
      </c>
      <c r="D13" s="407">
        <v>50</v>
      </c>
      <c r="E13" s="407">
        <v>45</v>
      </c>
      <c r="F13" s="407">
        <v>45</v>
      </c>
      <c r="G13" s="407">
        <v>45</v>
      </c>
      <c r="H13" s="407">
        <v>35</v>
      </c>
      <c r="I13" s="407">
        <v>35</v>
      </c>
      <c r="J13" s="407">
        <v>30</v>
      </c>
      <c r="K13" s="408">
        <v>20</v>
      </c>
      <c r="L13">
        <v>20</v>
      </c>
      <c r="M13">
        <v>0</v>
      </c>
      <c r="N13">
        <v>0</v>
      </c>
      <c r="O13">
        <v>0</v>
      </c>
      <c r="P13">
        <v>0</v>
      </c>
    </row>
    <row r="14" spans="1:16">
      <c r="A14" s="406">
        <v>80</v>
      </c>
      <c r="B14" s="407">
        <v>25</v>
      </c>
      <c r="C14" s="407">
        <v>50</v>
      </c>
      <c r="D14" s="407">
        <v>65</v>
      </c>
      <c r="E14" s="407">
        <v>60</v>
      </c>
      <c r="F14" s="407">
        <v>60</v>
      </c>
      <c r="G14" s="407">
        <v>55</v>
      </c>
      <c r="H14" s="407">
        <v>45</v>
      </c>
      <c r="I14" s="407">
        <v>40</v>
      </c>
      <c r="J14" s="407">
        <v>35</v>
      </c>
      <c r="K14" s="408">
        <v>30</v>
      </c>
      <c r="L14">
        <v>25</v>
      </c>
      <c r="M14">
        <v>20</v>
      </c>
      <c r="N14">
        <v>15</v>
      </c>
      <c r="O14">
        <v>15</v>
      </c>
      <c r="P14">
        <v>5</v>
      </c>
    </row>
    <row r="15" spans="1:16">
      <c r="A15" s="406">
        <v>90</v>
      </c>
      <c r="B15" s="407">
        <v>35</v>
      </c>
      <c r="C15" s="407">
        <v>65</v>
      </c>
      <c r="D15" s="407">
        <v>75</v>
      </c>
      <c r="E15" s="407">
        <v>65</v>
      </c>
      <c r="F15" s="407">
        <v>70</v>
      </c>
      <c r="G15" s="407">
        <v>65</v>
      </c>
      <c r="H15" s="407">
        <v>55</v>
      </c>
      <c r="I15" s="407">
        <v>50</v>
      </c>
      <c r="J15" s="407">
        <v>45</v>
      </c>
      <c r="K15" s="408">
        <v>35</v>
      </c>
      <c r="L15">
        <v>30</v>
      </c>
      <c r="M15">
        <v>25</v>
      </c>
      <c r="N15">
        <v>20</v>
      </c>
      <c r="O15">
        <v>20</v>
      </c>
      <c r="P15">
        <v>15</v>
      </c>
    </row>
    <row r="16" spans="1:16">
      <c r="A16" s="406">
        <v>100</v>
      </c>
      <c r="B16" s="407">
        <v>45</v>
      </c>
      <c r="C16" s="407">
        <v>80</v>
      </c>
      <c r="D16" s="407">
        <v>90</v>
      </c>
      <c r="E16" s="407">
        <v>75</v>
      </c>
      <c r="F16" s="407">
        <v>80</v>
      </c>
      <c r="G16" s="407">
        <v>70</v>
      </c>
      <c r="H16" s="407">
        <v>60</v>
      </c>
      <c r="I16" s="407">
        <v>55</v>
      </c>
      <c r="J16" s="407">
        <v>50</v>
      </c>
      <c r="K16" s="408">
        <v>45</v>
      </c>
      <c r="L16">
        <v>35</v>
      </c>
      <c r="M16">
        <v>30</v>
      </c>
      <c r="N16">
        <v>25</v>
      </c>
      <c r="O16">
        <v>20</v>
      </c>
      <c r="P16">
        <v>20</v>
      </c>
    </row>
    <row r="17" spans="1:16">
      <c r="A17" s="406">
        <v>110</v>
      </c>
      <c r="B17" s="407">
        <v>55</v>
      </c>
      <c r="C17" s="407">
        <v>95</v>
      </c>
      <c r="D17" s="407">
        <v>100</v>
      </c>
      <c r="E17" s="407">
        <v>85</v>
      </c>
      <c r="F17" s="407">
        <v>90</v>
      </c>
      <c r="G17" s="407">
        <v>80</v>
      </c>
      <c r="H17" s="407">
        <v>70</v>
      </c>
      <c r="I17" s="407">
        <v>65</v>
      </c>
      <c r="J17" s="407">
        <v>60</v>
      </c>
      <c r="K17" s="408">
        <v>50</v>
      </c>
      <c r="L17">
        <v>40</v>
      </c>
      <c r="M17">
        <v>35</v>
      </c>
      <c r="N17">
        <v>30</v>
      </c>
      <c r="O17">
        <v>25</v>
      </c>
      <c r="P17">
        <v>20</v>
      </c>
    </row>
    <row r="18" spans="1:16">
      <c r="A18" s="406">
        <v>120</v>
      </c>
      <c r="B18" s="407">
        <v>65</v>
      </c>
      <c r="C18" s="407">
        <v>110</v>
      </c>
      <c r="D18" s="407">
        <v>110</v>
      </c>
      <c r="E18" s="407">
        <v>100</v>
      </c>
      <c r="F18" s="407">
        <v>100</v>
      </c>
      <c r="G18" s="407">
        <v>90</v>
      </c>
      <c r="H18" s="407">
        <v>75</v>
      </c>
      <c r="I18" s="407">
        <v>70</v>
      </c>
      <c r="J18" s="407">
        <v>70</v>
      </c>
      <c r="K18" s="408">
        <v>55</v>
      </c>
      <c r="L18">
        <v>50</v>
      </c>
      <c r="M18">
        <v>40</v>
      </c>
      <c r="N18">
        <v>35</v>
      </c>
      <c r="O18">
        <v>30</v>
      </c>
      <c r="P18">
        <v>25</v>
      </c>
    </row>
    <row r="19" spans="1:16">
      <c r="A19" s="406">
        <v>130</v>
      </c>
      <c r="B19" s="407">
        <v>75</v>
      </c>
      <c r="C19" s="407">
        <v>120</v>
      </c>
      <c r="D19" s="407">
        <v>125</v>
      </c>
      <c r="E19" s="407">
        <v>110</v>
      </c>
      <c r="F19" s="407">
        <v>110</v>
      </c>
      <c r="G19" s="407">
        <v>100</v>
      </c>
      <c r="H19" s="407">
        <v>85</v>
      </c>
      <c r="I19" s="407">
        <v>80</v>
      </c>
      <c r="J19" s="407">
        <v>75</v>
      </c>
      <c r="K19" s="408">
        <v>65</v>
      </c>
      <c r="L19">
        <v>55</v>
      </c>
      <c r="M19">
        <v>45</v>
      </c>
      <c r="N19">
        <v>40</v>
      </c>
      <c r="O19">
        <v>30</v>
      </c>
      <c r="P19">
        <v>30</v>
      </c>
    </row>
    <row r="20" spans="1:16">
      <c r="A20" s="412">
        <v>140</v>
      </c>
      <c r="B20" s="413">
        <v>80</v>
      </c>
      <c r="C20" s="413">
        <v>135</v>
      </c>
      <c r="D20" s="413">
        <v>140</v>
      </c>
      <c r="E20" s="413">
        <v>120</v>
      </c>
      <c r="F20" s="413">
        <v>125</v>
      </c>
      <c r="G20" s="413">
        <v>110</v>
      </c>
      <c r="H20" s="413">
        <v>90</v>
      </c>
      <c r="I20" s="413">
        <v>85</v>
      </c>
      <c r="J20" s="413">
        <v>85</v>
      </c>
      <c r="K20" s="414">
        <v>70</v>
      </c>
      <c r="L20">
        <v>60</v>
      </c>
      <c r="M20">
        <v>50</v>
      </c>
      <c r="N20">
        <v>45</v>
      </c>
      <c r="O20">
        <v>35</v>
      </c>
      <c r="P20">
        <v>30</v>
      </c>
    </row>
    <row r="21" spans="1:16">
      <c r="A21" s="407"/>
      <c r="B21" s="407"/>
      <c r="C21" s="407"/>
      <c r="D21" s="407"/>
      <c r="E21" s="407"/>
      <c r="F21" s="407"/>
      <c r="G21" s="407"/>
      <c r="H21" s="407"/>
      <c r="I21" s="407"/>
      <c r="J21" s="407"/>
      <c r="K21" s="407"/>
    </row>
    <row r="22" spans="1:16">
      <c r="A22" s="407">
        <f>INDEX(A26:A37,'All Rev &amp; Projects'!$A$228)</f>
        <v>70</v>
      </c>
      <c r="B22" s="407">
        <f>INDEX(B26:B37,'All Rev &amp; Projects'!$A$228)</f>
        <v>9989.2794986025419</v>
      </c>
      <c r="C22" s="407">
        <f>INDEX(C26:C37,'All Rev &amp; Projects'!$A$228)</f>
        <v>10526.397445138671</v>
      </c>
      <c r="D22" s="407">
        <f>INDEX(D26:D37,'All Rev &amp; Projects'!$A$228)</f>
        <v>10186.176010622552</v>
      </c>
      <c r="E22" s="407">
        <f>INDEX(E26:E37,'All Rev &amp; Projects'!$A$228)</f>
        <v>9618.8943414353507</v>
      </c>
      <c r="F22" s="407">
        <f>INDEX(F26:F37,'All Rev &amp; Projects'!$A$228)</f>
        <v>9189.8093815768934</v>
      </c>
      <c r="G22" s="407">
        <f>INDEX(G26:G37,'All Rev &amp; Projects'!$A$228)</f>
        <v>8595.5790448907283</v>
      </c>
      <c r="H22" s="407">
        <f>INDEX(H26:H37,'All Rev &amp; Projects'!$A$228)</f>
        <v>8020.3163265063331</v>
      </c>
      <c r="I22" s="407">
        <f>INDEX(I26:I37,'All Rev &amp; Projects'!$A$228)</f>
        <v>7580.3002063207923</v>
      </c>
      <c r="J22" s="407">
        <f>INDEX(J26:J37,'All Rev &amp; Projects'!$A$228)</f>
        <v>7067.099868242557</v>
      </c>
      <c r="K22" s="407">
        <f>INDEX(K26:K37,'All Rev &amp; Projects'!$A$228)</f>
        <v>6361.778969648627</v>
      </c>
      <c r="L22" s="407">
        <f>INDEX(L26:L37,'All Rev &amp; Projects'!$A$228)</f>
        <v>5770.8471601363308</v>
      </c>
      <c r="M22" s="407">
        <f>INDEX(M26:M37,'All Rev &amp; Projects'!$A$228)</f>
        <v>5267.6890276177028</v>
      </c>
      <c r="N22" s="407">
        <f>INDEX(N26:N37,'All Rev &amp; Projects'!$A$228)</f>
        <v>4842.9354229259006</v>
      </c>
      <c r="O22" s="407">
        <f>INDEX(O26:O37,'All Rev &amp; Projects'!$A$228)</f>
        <v>4425.1868586470264</v>
      </c>
      <c r="P22" s="407">
        <f>INDEX(P26:P37,'All Rev &amp; Projects'!$A$228)</f>
        <v>4059.7860037381311</v>
      </c>
    </row>
    <row r="24" spans="1:16" ht="18.75">
      <c r="A24" s="398" t="s">
        <v>730</v>
      </c>
    </row>
    <row r="25" spans="1:16">
      <c r="A25" s="399" t="s">
        <v>511</v>
      </c>
      <c r="B25" s="400" t="s">
        <v>2</v>
      </c>
      <c r="C25" s="400" t="s">
        <v>3</v>
      </c>
      <c r="D25" s="400" t="s">
        <v>4</v>
      </c>
      <c r="E25" s="400" t="s">
        <v>5</v>
      </c>
      <c r="F25" s="400" t="s">
        <v>6</v>
      </c>
      <c r="G25" s="400" t="s">
        <v>7</v>
      </c>
      <c r="H25" s="400" t="s">
        <v>8</v>
      </c>
      <c r="I25" s="400" t="s">
        <v>9</v>
      </c>
      <c r="J25" s="400" t="s">
        <v>21</v>
      </c>
      <c r="K25" s="401" t="s">
        <v>35</v>
      </c>
    </row>
    <row r="26" spans="1:16">
      <c r="A26" s="927" t="s">
        <v>512</v>
      </c>
      <c r="B26" s="890">
        <v>9340.0220013541148</v>
      </c>
      <c r="C26" s="890">
        <v>13069.807889184207</v>
      </c>
      <c r="D26" s="890">
        <v>12722.356953710119</v>
      </c>
      <c r="E26" s="890">
        <v>12981.304937745961</v>
      </c>
      <c r="F26" s="890">
        <v>13789.150145131543</v>
      </c>
      <c r="G26" s="890">
        <v>13007.233187619124</v>
      </c>
      <c r="H26" s="890">
        <v>12145.83432508332</v>
      </c>
      <c r="I26" s="890">
        <v>11747.088990618155</v>
      </c>
      <c r="J26" s="928">
        <v>11199.08688023897</v>
      </c>
      <c r="K26" s="928">
        <v>10108.646361217243</v>
      </c>
      <c r="L26" s="890">
        <v>9226.2380817677458</v>
      </c>
      <c r="M26" s="890">
        <v>8477.0368145270586</v>
      </c>
      <c r="N26" s="890">
        <v>7848.3991027225438</v>
      </c>
      <c r="O26" s="890">
        <v>7227.9177652281032</v>
      </c>
      <c r="P26" s="890">
        <v>6688.2698570546818</v>
      </c>
    </row>
    <row r="27" spans="1:16">
      <c r="A27" s="929">
        <v>40</v>
      </c>
      <c r="B27" s="890">
        <v>5082.1505088767999</v>
      </c>
      <c r="C27" s="890">
        <v>5354.5643058989681</v>
      </c>
      <c r="D27" s="890">
        <v>5175.0638534168438</v>
      </c>
      <c r="E27" s="890">
        <v>4863.851351797749</v>
      </c>
      <c r="F27" s="890">
        <v>4622.6596509194724</v>
      </c>
      <c r="G27" s="890">
        <v>4292.196933148959</v>
      </c>
      <c r="H27" s="890">
        <v>3970.1100565662846</v>
      </c>
      <c r="I27" s="890">
        <v>3717.3901179921436</v>
      </c>
      <c r="J27" s="890">
        <v>3428.1669382187943</v>
      </c>
      <c r="K27" s="890">
        <v>3039.0328582079096</v>
      </c>
      <c r="L27" s="890">
        <v>2706.6405712697501</v>
      </c>
      <c r="M27" s="890">
        <v>2421.6463266343535</v>
      </c>
      <c r="N27" s="890">
        <v>2177.7430054910042</v>
      </c>
      <c r="O27" s="890">
        <v>1939.6977699402491</v>
      </c>
      <c r="P27" s="890">
        <v>1728.8603090588247</v>
      </c>
    </row>
    <row r="28" spans="1:16">
      <c r="A28" s="929">
        <v>50</v>
      </c>
      <c r="B28" s="890">
        <v>6717.8052991050854</v>
      </c>
      <c r="C28" s="890">
        <v>7078.5652473562131</v>
      </c>
      <c r="D28" s="890">
        <v>6845.4881680918388</v>
      </c>
      <c r="E28" s="890">
        <v>6448.865681676949</v>
      </c>
      <c r="F28" s="890">
        <v>6145.0896155590872</v>
      </c>
      <c r="G28" s="890">
        <v>5726.5715254972147</v>
      </c>
      <c r="H28" s="890">
        <v>5320.1391831269848</v>
      </c>
      <c r="I28" s="890">
        <v>5004.9898472207724</v>
      </c>
      <c r="J28" s="890">
        <v>4641.1445815600491</v>
      </c>
      <c r="K28" s="890">
        <v>4146.5844826881357</v>
      </c>
      <c r="L28" s="890">
        <v>3728.0153378683385</v>
      </c>
      <c r="M28" s="890">
        <v>3370.3521428662525</v>
      </c>
      <c r="N28" s="890">
        <v>3066.163297472262</v>
      </c>
      <c r="O28" s="890">
        <v>2768.19413284251</v>
      </c>
      <c r="P28" s="890">
        <v>2505.8355406185942</v>
      </c>
    </row>
    <row r="29" spans="1:16">
      <c r="A29" s="929">
        <v>60</v>
      </c>
      <c r="B29" s="890">
        <v>8353.6247083742546</v>
      </c>
      <c r="C29" s="890">
        <v>8802.5661888134582</v>
      </c>
      <c r="D29" s="890">
        <v>8515.7516959475543</v>
      </c>
      <c r="E29" s="890">
        <v>8033.880011556148</v>
      </c>
      <c r="F29" s="890">
        <v>7667.5195801987002</v>
      </c>
      <c r="G29" s="890">
        <v>7161.2044525424726</v>
      </c>
      <c r="H29" s="890">
        <v>6670.2871999456329</v>
      </c>
      <c r="I29" s="890">
        <v>6292.7004770921631</v>
      </c>
      <c r="J29" s="890">
        <v>5854.2243935187362</v>
      </c>
      <c r="K29" s="890">
        <v>5254.2273451683986</v>
      </c>
      <c r="L29" s="890">
        <v>4749.4723935377424</v>
      </c>
      <c r="M29" s="890">
        <v>4319.0579590981488</v>
      </c>
      <c r="N29" s="890">
        <v>3954.5835894535167</v>
      </c>
      <c r="O29" s="890">
        <v>3596.6904957447664</v>
      </c>
      <c r="P29" s="890">
        <v>3282.8107721783617</v>
      </c>
    </row>
    <row r="30" spans="1:16">
      <c r="A30" s="929">
        <v>70</v>
      </c>
      <c r="B30" s="890">
        <v>9989.2794986025419</v>
      </c>
      <c r="C30" s="890">
        <v>10526.397445138671</v>
      </c>
      <c r="D30" s="890">
        <v>10186.176010622552</v>
      </c>
      <c r="E30" s="890">
        <v>9618.8943414353507</v>
      </c>
      <c r="F30" s="890">
        <v>9189.8093815768934</v>
      </c>
      <c r="G30" s="890">
        <v>8595.5790448907283</v>
      </c>
      <c r="H30" s="890">
        <v>8020.3163265063331</v>
      </c>
      <c r="I30" s="890">
        <v>7580.3002063207923</v>
      </c>
      <c r="J30" s="890">
        <v>7067.099868242557</v>
      </c>
      <c r="K30" s="890">
        <v>6361.778969648627</v>
      </c>
      <c r="L30" s="890">
        <v>5770.8471601363308</v>
      </c>
      <c r="M30" s="890">
        <v>5267.6890276177028</v>
      </c>
      <c r="N30" s="890">
        <v>4842.9354229259006</v>
      </c>
      <c r="O30" s="890">
        <v>4425.1868586470264</v>
      </c>
      <c r="P30" s="890">
        <v>4059.7860037381311</v>
      </c>
    </row>
    <row r="31" spans="1:16">
      <c r="A31" s="929">
        <v>80</v>
      </c>
      <c r="B31" s="890">
        <v>11625.09890787171</v>
      </c>
      <c r="C31" s="890">
        <v>12250.398386595914</v>
      </c>
      <c r="D31" s="890">
        <v>11856.439538478264</v>
      </c>
      <c r="E31" s="890">
        <v>11203.908671314548</v>
      </c>
      <c r="F31" s="890">
        <v>10712.099182955084</v>
      </c>
      <c r="G31" s="890">
        <v>10030.082804587486</v>
      </c>
      <c r="H31" s="890">
        <v>9370.3454530670333</v>
      </c>
      <c r="I31" s="890">
        <v>8868.010836192183</v>
      </c>
      <c r="J31" s="890">
        <v>8280.0775115838132</v>
      </c>
      <c r="K31" s="890">
        <v>7469.3305941288527</v>
      </c>
      <c r="L31" s="890">
        <v>6792.3042158057378</v>
      </c>
      <c r="M31" s="890">
        <v>6216.3948438496027</v>
      </c>
      <c r="N31" s="890">
        <v>5731.3557149071576</v>
      </c>
      <c r="O31" s="890">
        <v>5253.6832215492868</v>
      </c>
      <c r="P31" s="890">
        <v>4836.7612352978995</v>
      </c>
    </row>
    <row r="32" spans="1:16">
      <c r="A32" s="929">
        <v>90</v>
      </c>
      <c r="B32" s="890">
        <v>13260.753698099996</v>
      </c>
      <c r="C32" s="890">
        <v>13974.399328053161</v>
      </c>
      <c r="D32" s="890">
        <v>13526.86385315326</v>
      </c>
      <c r="E32" s="890">
        <v>12788.923001193745</v>
      </c>
      <c r="F32" s="890">
        <v>12234.529147594696</v>
      </c>
      <c r="G32" s="890">
        <v>11464.586564284242</v>
      </c>
      <c r="H32" s="890">
        <v>10720.49346988568</v>
      </c>
      <c r="I32" s="890">
        <v>10155.721466063569</v>
      </c>
      <c r="J32" s="890">
        <v>9493.1573235424985</v>
      </c>
      <c r="K32" s="890">
        <v>8576.9734566091156</v>
      </c>
      <c r="L32" s="890">
        <v>7813.7612714751413</v>
      </c>
      <c r="M32" s="890">
        <v>7165.1006600814981</v>
      </c>
      <c r="N32" s="890">
        <v>6619.8444653972865</v>
      </c>
      <c r="O32" s="890">
        <v>6082.1795844515427</v>
      </c>
      <c r="P32" s="890">
        <v>5613.793732830698</v>
      </c>
    </row>
    <row r="33" spans="1:16">
      <c r="A33" s="929">
        <v>100</v>
      </c>
      <c r="B33" s="890">
        <v>14896.408488328281</v>
      </c>
      <c r="C33" s="890">
        <v>15698.400269510408</v>
      </c>
      <c r="D33" s="890">
        <v>15197.127381008975</v>
      </c>
      <c r="E33" s="890">
        <v>14373.937331072948</v>
      </c>
      <c r="F33" s="890">
        <v>13756.818948972892</v>
      </c>
      <c r="G33" s="890">
        <v>12899.090323981001</v>
      </c>
      <c r="H33" s="890">
        <v>12070.522596446383</v>
      </c>
      <c r="I33" s="890">
        <v>11443.321195292203</v>
      </c>
      <c r="J33" s="890">
        <v>10706.032798266322</v>
      </c>
      <c r="K33" s="890">
        <v>9684.433843089304</v>
      </c>
      <c r="L33" s="890">
        <v>8835.1360380737333</v>
      </c>
      <c r="M33" s="890">
        <v>8113.7317286010557</v>
      </c>
      <c r="N33" s="890">
        <v>7508.1962988696741</v>
      </c>
      <c r="O33" s="890">
        <v>6910.6759473538068</v>
      </c>
      <c r="P33" s="890">
        <v>6390.711698417439</v>
      </c>
    </row>
    <row r="34" spans="1:16">
      <c r="A34" s="929">
        <v>110</v>
      </c>
      <c r="B34" s="890">
        <v>16532.227897597448</v>
      </c>
      <c r="C34" s="890">
        <v>17422.401210967651</v>
      </c>
      <c r="D34" s="890">
        <v>16867.390908864691</v>
      </c>
      <c r="E34" s="890">
        <v>15958.951660952147</v>
      </c>
      <c r="F34" s="890">
        <v>15279.108750351081</v>
      </c>
      <c r="G34" s="890">
        <v>14333.594083677755</v>
      </c>
      <c r="H34" s="890">
        <v>13420.551723007082</v>
      </c>
      <c r="I34" s="890">
        <v>12731.031825163591</v>
      </c>
      <c r="J34" s="890">
        <v>11919.010441607574</v>
      </c>
      <c r="K34" s="890">
        <v>10792.076705569567</v>
      </c>
      <c r="L34" s="890">
        <v>9856.5108046723199</v>
      </c>
      <c r="M34" s="890">
        <v>9062.4375448329538</v>
      </c>
      <c r="N34" s="890">
        <v>8396.6165908509265</v>
      </c>
      <c r="O34" s="890">
        <v>7739.1723102560627</v>
      </c>
      <c r="P34" s="890">
        <v>7167.6869299772034</v>
      </c>
    </row>
    <row r="35" spans="1:16">
      <c r="A35" s="929">
        <v>120</v>
      </c>
      <c r="B35" s="890">
        <v>18167.882687825739</v>
      </c>
      <c r="C35" s="890">
        <v>19146.402152424896</v>
      </c>
      <c r="D35" s="890">
        <v>18537.815223539688</v>
      </c>
      <c r="E35" s="890">
        <v>17543.965990831348</v>
      </c>
      <c r="F35" s="890">
        <v>16801.538714990693</v>
      </c>
      <c r="G35" s="890">
        <v>15767.968676026008</v>
      </c>
      <c r="H35" s="890">
        <v>14770.580849567779</v>
      </c>
      <c r="I35" s="890">
        <v>14018.631554392221</v>
      </c>
      <c r="J35" s="890">
        <v>13131.988084948827</v>
      </c>
      <c r="K35" s="890">
        <v>11899.628330049793</v>
      </c>
      <c r="L35" s="890">
        <v>10877.967860341721</v>
      </c>
      <c r="M35" s="890">
        <v>10011.068613352505</v>
      </c>
      <c r="N35" s="890">
        <v>9285.0368828321825</v>
      </c>
      <c r="O35" s="890">
        <v>8567.6062363647361</v>
      </c>
      <c r="P35" s="890">
        <v>7944.6621615369722</v>
      </c>
    </row>
    <row r="36" spans="1:16">
      <c r="A36" s="929">
        <v>130</v>
      </c>
      <c r="B36" s="890">
        <v>19803.537478054019</v>
      </c>
      <c r="C36" s="890">
        <v>20870.403093882142</v>
      </c>
      <c r="D36" s="890">
        <v>20208.239538214679</v>
      </c>
      <c r="E36" s="890">
        <v>19128.980320710543</v>
      </c>
      <c r="F36" s="890">
        <v>18323.828516368889</v>
      </c>
      <c r="G36" s="890">
        <v>17202.472435722768</v>
      </c>
      <c r="H36" s="890">
        <v>16120.609976128479</v>
      </c>
      <c r="I36" s="890">
        <v>15306.342184263609</v>
      </c>
      <c r="J36" s="890">
        <v>14344.965728290083</v>
      </c>
      <c r="K36" s="890">
        <v>13007.179954530022</v>
      </c>
      <c r="L36" s="890">
        <v>11899.34262694031</v>
      </c>
      <c r="M36" s="890">
        <v>10959.774429584404</v>
      </c>
      <c r="N36" s="890">
        <v>10173.388716304567</v>
      </c>
      <c r="O36" s="890">
        <v>9396.1025992669965</v>
      </c>
      <c r="P36" s="890">
        <v>8721.6373930967438</v>
      </c>
    </row>
    <row r="37" spans="1:16">
      <c r="A37" s="930">
        <v>140</v>
      </c>
      <c r="B37" s="890">
        <v>21439.192268282306</v>
      </c>
      <c r="C37" s="890">
        <v>22594.404035339387</v>
      </c>
      <c r="D37" s="890">
        <v>21878.5030660704</v>
      </c>
      <c r="E37" s="890">
        <v>20713.994650589753</v>
      </c>
      <c r="F37" s="890">
        <v>19846.118317747085</v>
      </c>
      <c r="G37" s="890">
        <v>18636.976195419527</v>
      </c>
      <c r="H37" s="890">
        <v>17470.757992947129</v>
      </c>
      <c r="I37" s="890">
        <v>16594.052814135004</v>
      </c>
      <c r="J37" s="890">
        <v>15557.943371631336</v>
      </c>
      <c r="K37" s="890">
        <v>14114.731579010246</v>
      </c>
      <c r="L37" s="890">
        <v>12920.799682609721</v>
      </c>
      <c r="M37" s="890">
        <v>11908.480245816305</v>
      </c>
      <c r="N37" s="890">
        <v>11061.809008285825</v>
      </c>
      <c r="O37" s="890">
        <v>10224.598962169259</v>
      </c>
      <c r="P37" s="890">
        <v>9498.6126246565109</v>
      </c>
    </row>
  </sheetData>
  <sheetProtection password="CC29" sheet="1" objects="1" scenarios="1"/>
  <pageMargins left="0.25" right="0.25" top="0.75" bottom="0.75" header="0.3" footer="0.3"/>
  <pageSetup scale="87" fitToHeight="2" orientation="portrait" r:id="rId1"/>
  <headerFooter>
    <oddHeader>&amp;LAlaska Department of RevenueTax Division&amp;RPrinted:  &amp;D &amp;TPage: &amp;P of &amp;N</oddHeader>
  </headerFooter>
  <rowBreaks count="1" manualBreakCount="1">
    <brk id="6"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T20"/>
  <sheetViews>
    <sheetView workbookViewId="0">
      <selection activeCell="A9" sqref="A9"/>
    </sheetView>
  </sheetViews>
  <sheetFormatPr defaultRowHeight="15"/>
  <cols>
    <col min="1" max="1" width="66" customWidth="1"/>
    <col min="2" max="2" width="21.7109375" bestFit="1" customWidth="1"/>
    <col min="3" max="3" width="30.5703125" bestFit="1" customWidth="1"/>
    <col min="6" max="6" width="18.85546875" customWidth="1"/>
    <col min="7" max="20" width="19" bestFit="1" customWidth="1"/>
  </cols>
  <sheetData>
    <row r="1" spans="1:20">
      <c r="D1">
        <v>2014</v>
      </c>
      <c r="E1" s="1140">
        <f>D1+1</f>
        <v>2015</v>
      </c>
      <c r="F1">
        <f>E1+1</f>
        <v>2016</v>
      </c>
      <c r="G1" s="1140">
        <f>F1+1</f>
        <v>2017</v>
      </c>
      <c r="H1" s="1140">
        <f t="shared" ref="H1:T1" si="0">G1+1</f>
        <v>2018</v>
      </c>
      <c r="I1" s="1140">
        <f t="shared" si="0"/>
        <v>2019</v>
      </c>
      <c r="J1" s="1140">
        <f t="shared" si="0"/>
        <v>2020</v>
      </c>
      <c r="K1" s="1140">
        <f t="shared" si="0"/>
        <v>2021</v>
      </c>
      <c r="L1" s="1140">
        <f t="shared" si="0"/>
        <v>2022</v>
      </c>
      <c r="M1" s="1140">
        <f t="shared" si="0"/>
        <v>2023</v>
      </c>
      <c r="N1" s="1140">
        <f t="shared" si="0"/>
        <v>2024</v>
      </c>
      <c r="O1" s="1140">
        <f t="shared" si="0"/>
        <v>2025</v>
      </c>
      <c r="P1" s="1140">
        <f t="shared" si="0"/>
        <v>2026</v>
      </c>
      <c r="Q1" s="1140">
        <f t="shared" si="0"/>
        <v>2027</v>
      </c>
      <c r="R1" s="1140">
        <f t="shared" si="0"/>
        <v>2028</v>
      </c>
      <c r="S1" s="1140">
        <f t="shared" si="0"/>
        <v>2029</v>
      </c>
      <c r="T1" s="1140">
        <f t="shared" si="0"/>
        <v>2030</v>
      </c>
    </row>
    <row r="2" spans="1:20">
      <c r="D2">
        <v>0</v>
      </c>
      <c r="E2">
        <v>0</v>
      </c>
      <c r="F2" s="109">
        <f t="shared" ref="F2:P2" si="1">(F10-F12)/1000000</f>
        <v>813.75</v>
      </c>
      <c r="G2" s="109">
        <f t="shared" si="1"/>
        <v>813.75</v>
      </c>
      <c r="H2" s="109">
        <f t="shared" si="1"/>
        <v>813.75</v>
      </c>
      <c r="I2" s="109">
        <f t="shared" si="1"/>
        <v>813.75</v>
      </c>
      <c r="J2" s="109">
        <f t="shared" si="1"/>
        <v>813.75</v>
      </c>
      <c r="K2" s="109">
        <f t="shared" si="1"/>
        <v>813.75</v>
      </c>
      <c r="L2" s="109">
        <f t="shared" si="1"/>
        <v>813.75</v>
      </c>
      <c r="M2" s="109">
        <f t="shared" si="1"/>
        <v>813.75</v>
      </c>
      <c r="N2" s="109">
        <f t="shared" si="1"/>
        <v>813.75</v>
      </c>
      <c r="O2" s="109">
        <f t="shared" si="1"/>
        <v>813.75</v>
      </c>
      <c r="P2" s="109">
        <f t="shared" si="1"/>
        <v>813.75</v>
      </c>
      <c r="Q2" s="109">
        <f>(Q10-Q12)/1000000</f>
        <v>-1000</v>
      </c>
      <c r="R2" s="109">
        <f t="shared" ref="R2:T2" si="2">(R10-R12)/1000000</f>
        <v>-900</v>
      </c>
      <c r="S2" s="109">
        <f t="shared" si="2"/>
        <v>-810</v>
      </c>
      <c r="T2" s="109">
        <f t="shared" si="2"/>
        <v>-729</v>
      </c>
    </row>
    <row r="3" spans="1:20">
      <c r="H3" s="1140"/>
      <c r="I3" s="1140"/>
      <c r="J3" s="1140"/>
      <c r="K3" s="1140"/>
      <c r="L3" s="1140"/>
      <c r="M3" s="1140"/>
      <c r="N3" s="1140"/>
      <c r="O3" s="1140"/>
      <c r="P3" s="1140"/>
      <c r="Q3" s="1140"/>
      <c r="R3" s="1140"/>
      <c r="S3" s="1140"/>
      <c r="T3" s="1140"/>
    </row>
    <row r="4" spans="1:20">
      <c r="H4" s="1140"/>
      <c r="I4" s="1140"/>
      <c r="J4" s="1140"/>
      <c r="K4" s="1140"/>
      <c r="L4" s="1140"/>
      <c r="M4" s="1140"/>
      <c r="N4" s="1140"/>
      <c r="O4" s="1140"/>
      <c r="P4" s="1140"/>
      <c r="Q4" s="1140"/>
      <c r="R4" s="1140"/>
      <c r="S4" s="1140"/>
      <c r="T4" s="1140"/>
    </row>
    <row r="5" spans="1:20">
      <c r="H5" s="1140"/>
      <c r="I5" s="1140"/>
      <c r="J5" s="1140"/>
      <c r="K5" s="1140"/>
      <c r="L5" s="1140"/>
      <c r="M5" s="1140"/>
      <c r="N5" s="1140"/>
      <c r="O5" s="1140"/>
      <c r="P5" s="1140"/>
      <c r="Q5" s="1140"/>
      <c r="R5" s="1140"/>
      <c r="S5" s="1140"/>
      <c r="T5" s="1140"/>
    </row>
    <row r="6" spans="1:20">
      <c r="B6" t="s">
        <v>965</v>
      </c>
      <c r="C6" t="s">
        <v>978</v>
      </c>
      <c r="D6">
        <v>2014</v>
      </c>
      <c r="E6" s="1140">
        <f>D6+1</f>
        <v>2015</v>
      </c>
      <c r="F6">
        <f>E6+1</f>
        <v>2016</v>
      </c>
      <c r="G6" s="1140">
        <f>F6+1</f>
        <v>2017</v>
      </c>
      <c r="H6" s="1140">
        <f t="shared" ref="H6:T6" si="3">G6+1</f>
        <v>2018</v>
      </c>
      <c r="I6" s="1140">
        <f t="shared" si="3"/>
        <v>2019</v>
      </c>
      <c r="J6" s="1140">
        <f t="shared" si="3"/>
        <v>2020</v>
      </c>
      <c r="K6" s="1140">
        <f t="shared" si="3"/>
        <v>2021</v>
      </c>
      <c r="L6" s="1140">
        <f t="shared" si="3"/>
        <v>2022</v>
      </c>
      <c r="M6" s="1140">
        <f t="shared" si="3"/>
        <v>2023</v>
      </c>
      <c r="N6" s="1140">
        <f t="shared" si="3"/>
        <v>2024</v>
      </c>
      <c r="O6" s="1140">
        <f t="shared" si="3"/>
        <v>2025</v>
      </c>
      <c r="P6" s="1140">
        <f t="shared" si="3"/>
        <v>2026</v>
      </c>
      <c r="Q6" s="1140">
        <f t="shared" si="3"/>
        <v>2027</v>
      </c>
      <c r="R6" s="1140">
        <f t="shared" si="3"/>
        <v>2028</v>
      </c>
      <c r="S6" s="1140">
        <f t="shared" si="3"/>
        <v>2029</v>
      </c>
      <c r="T6" s="1140">
        <f t="shared" si="3"/>
        <v>2030</v>
      </c>
    </row>
    <row r="7" spans="1:20">
      <c r="A7" t="s">
        <v>966</v>
      </c>
      <c r="H7" s="1140"/>
      <c r="I7" s="1140"/>
      <c r="J7" s="1140"/>
      <c r="K7" s="1140"/>
      <c r="L7" s="1140"/>
      <c r="M7" s="1140"/>
      <c r="N7" s="1140"/>
      <c r="O7" s="1140"/>
      <c r="P7" s="1140"/>
      <c r="Q7" s="1140"/>
      <c r="R7" s="1140"/>
      <c r="S7" s="1140"/>
      <c r="T7" s="1140"/>
    </row>
    <row r="8" spans="1:20">
      <c r="A8" t="s">
        <v>967</v>
      </c>
      <c r="B8" s="112">
        <v>31000000000000</v>
      </c>
      <c r="C8" t="s">
        <v>979</v>
      </c>
      <c r="F8" s="112">
        <f>B8</f>
        <v>31000000000000</v>
      </c>
      <c r="G8" s="388">
        <f>F8</f>
        <v>31000000000000</v>
      </c>
      <c r="H8" s="388">
        <f t="shared" ref="H8:P8" si="4">G8</f>
        <v>31000000000000</v>
      </c>
      <c r="I8" s="388">
        <f t="shared" si="4"/>
        <v>31000000000000</v>
      </c>
      <c r="J8" s="388">
        <f t="shared" si="4"/>
        <v>31000000000000</v>
      </c>
      <c r="K8" s="388">
        <f t="shared" si="4"/>
        <v>31000000000000</v>
      </c>
      <c r="L8" s="388">
        <f t="shared" si="4"/>
        <v>31000000000000</v>
      </c>
      <c r="M8" s="388">
        <f t="shared" si="4"/>
        <v>31000000000000</v>
      </c>
      <c r="N8" s="388">
        <f t="shared" si="4"/>
        <v>31000000000000</v>
      </c>
      <c r="O8" s="388">
        <f t="shared" si="4"/>
        <v>31000000000000</v>
      </c>
      <c r="P8" s="388">
        <f t="shared" si="4"/>
        <v>31000000000000</v>
      </c>
      <c r="Q8" s="388"/>
      <c r="R8" s="388"/>
      <c r="S8" s="388"/>
      <c r="T8" s="388"/>
    </row>
    <row r="9" spans="1:20">
      <c r="A9" t="s">
        <v>968</v>
      </c>
      <c r="B9">
        <v>0.125</v>
      </c>
      <c r="C9" t="s">
        <v>980</v>
      </c>
      <c r="D9">
        <v>0</v>
      </c>
      <c r="E9">
        <v>0</v>
      </c>
      <c r="F9" s="112">
        <f>F8*(1-$B$9)</f>
        <v>27125000000000</v>
      </c>
      <c r="G9" s="112">
        <f>G8*(1-$B$9)</f>
        <v>27125000000000</v>
      </c>
      <c r="H9" s="112">
        <f t="shared" ref="H9:P9" si="5">H8*(1-$B$9)</f>
        <v>27125000000000</v>
      </c>
      <c r="I9" s="112">
        <f t="shared" si="5"/>
        <v>27125000000000</v>
      </c>
      <c r="J9" s="112">
        <f t="shared" si="5"/>
        <v>27125000000000</v>
      </c>
      <c r="K9" s="112">
        <f t="shared" si="5"/>
        <v>27125000000000</v>
      </c>
      <c r="L9" s="112">
        <f t="shared" si="5"/>
        <v>27125000000000</v>
      </c>
      <c r="M9" s="112">
        <f t="shared" si="5"/>
        <v>27125000000000</v>
      </c>
      <c r="N9" s="112">
        <f t="shared" si="5"/>
        <v>27125000000000</v>
      </c>
      <c r="O9" s="112">
        <f t="shared" si="5"/>
        <v>27125000000000</v>
      </c>
      <c r="P9" s="112">
        <f t="shared" si="5"/>
        <v>27125000000000</v>
      </c>
      <c r="Q9" s="112"/>
      <c r="R9" s="112"/>
      <c r="S9" s="112"/>
      <c r="T9" s="112"/>
    </row>
    <row r="10" spans="1:20">
      <c r="A10" t="s">
        <v>969</v>
      </c>
      <c r="B10">
        <v>3</v>
      </c>
      <c r="C10" t="s">
        <v>981</v>
      </c>
      <c r="D10">
        <v>0</v>
      </c>
      <c r="E10">
        <v>0</v>
      </c>
      <c r="F10" s="112">
        <f>(F9/1000)*$B$10*0.01</f>
        <v>813750000</v>
      </c>
      <c r="G10" s="112">
        <f t="shared" ref="G10:P10" si="6">(G9/1000)*$B$10*0.01</f>
        <v>813750000</v>
      </c>
      <c r="H10" s="112">
        <f t="shared" si="6"/>
        <v>813750000</v>
      </c>
      <c r="I10" s="112">
        <f t="shared" si="6"/>
        <v>813750000</v>
      </c>
      <c r="J10" s="112">
        <f t="shared" si="6"/>
        <v>813750000</v>
      </c>
      <c r="K10" s="112">
        <f t="shared" si="6"/>
        <v>813750000</v>
      </c>
      <c r="L10" s="112">
        <f t="shared" si="6"/>
        <v>813750000</v>
      </c>
      <c r="M10" s="112">
        <f t="shared" si="6"/>
        <v>813750000</v>
      </c>
      <c r="N10" s="112">
        <f t="shared" si="6"/>
        <v>813750000</v>
      </c>
      <c r="O10" s="112">
        <f t="shared" si="6"/>
        <v>813750000</v>
      </c>
      <c r="P10" s="112">
        <f t="shared" si="6"/>
        <v>813750000</v>
      </c>
      <c r="Q10" s="112"/>
      <c r="R10" s="112"/>
      <c r="S10" s="112"/>
      <c r="T10" s="112"/>
    </row>
    <row r="11" spans="1:20">
      <c r="A11" t="s">
        <v>970</v>
      </c>
    </row>
    <row r="12" spans="1:20" ht="30">
      <c r="A12" s="1145" t="s">
        <v>971</v>
      </c>
      <c r="B12" s="112">
        <v>2000000000</v>
      </c>
      <c r="C12" t="s">
        <v>982</v>
      </c>
      <c r="P12" s="388"/>
      <c r="Q12" s="1146">
        <f>B12*0.5</f>
        <v>1000000000</v>
      </c>
      <c r="R12" s="1146">
        <f>$B$13*Q12</f>
        <v>900000000</v>
      </c>
      <c r="S12" s="1146">
        <f t="shared" ref="S12:T12" si="7">$B$13*R12</f>
        <v>810000000</v>
      </c>
      <c r="T12" s="1146">
        <f t="shared" si="7"/>
        <v>729000000</v>
      </c>
    </row>
    <row r="13" spans="1:20">
      <c r="A13" t="s">
        <v>972</v>
      </c>
      <c r="B13">
        <v>0.9</v>
      </c>
    </row>
    <row r="15" spans="1:20">
      <c r="A15" t="s">
        <v>973</v>
      </c>
    </row>
    <row r="16" spans="1:20">
      <c r="A16" t="s">
        <v>974</v>
      </c>
    </row>
    <row r="17" spans="1:3">
      <c r="A17" t="s">
        <v>975</v>
      </c>
    </row>
    <row r="18" spans="1:3">
      <c r="A18" t="s">
        <v>976</v>
      </c>
    </row>
    <row r="19" spans="1:3">
      <c r="A19" t="s">
        <v>977</v>
      </c>
    </row>
    <row r="20" spans="1:3">
      <c r="C20" s="1147"/>
    </row>
  </sheetData>
  <sheetProtection password="CC29"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H141"/>
  <sheetViews>
    <sheetView topLeftCell="A13" workbookViewId="0">
      <selection activeCell="B6" sqref="B6:S6"/>
    </sheetView>
  </sheetViews>
  <sheetFormatPr defaultRowHeight="15"/>
  <cols>
    <col min="1" max="1" width="18.42578125" customWidth="1"/>
    <col min="2" max="7" width="9.7109375" bestFit="1" customWidth="1"/>
    <col min="8" max="8" width="9.5703125" customWidth="1"/>
    <col min="9" max="11" width="9.7109375" bestFit="1" customWidth="1"/>
  </cols>
  <sheetData>
    <row r="1" spans="1:16" ht="17.25" customHeight="1">
      <c r="A1" s="398" t="s">
        <v>527</v>
      </c>
    </row>
    <row r="2" spans="1:16">
      <c r="A2" t="s">
        <v>509</v>
      </c>
    </row>
    <row r="4" spans="1:16">
      <c r="A4">
        <f>INDEX(A8:A19,'All Rev &amp; Projects'!$A$228)</f>
        <v>70</v>
      </c>
      <c r="B4" s="269">
        <f>INDEX(B8:B19,'All Rev &amp; Projects'!$A$228)-B8</f>
        <v>-20</v>
      </c>
      <c r="C4" s="269">
        <f>INDEX(C8:C19,'All Rev &amp; Projects'!$A$228)-C8</f>
        <v>40</v>
      </c>
      <c r="D4" s="269">
        <f>INDEX(D8:D19,'All Rev &amp; Projects'!$A$228)-D8</f>
        <v>20</v>
      </c>
      <c r="E4" s="269">
        <f>INDEX(E8:E19,'All Rev &amp; Projects'!$A$228)-E8</f>
        <v>25</v>
      </c>
      <c r="F4" s="269">
        <f>INDEX(F8:F19,'All Rev &amp; Projects'!$A$228)-F8</f>
        <v>10</v>
      </c>
      <c r="G4" s="269">
        <f>INDEX(G8:G19,'All Rev &amp; Projects'!$A$228)-G8</f>
        <v>5</v>
      </c>
      <c r="H4" s="269">
        <f>INDEX(H8:H19,'All Rev &amp; Projects'!$A$228)-H8</f>
        <v>5</v>
      </c>
      <c r="I4" s="269">
        <f>INDEX(I8:I19,'All Rev &amp; Projects'!$A$228)-I8</f>
        <v>15</v>
      </c>
      <c r="J4" s="269">
        <f>INDEX(J8:J19,'All Rev &amp; Projects'!$A$228)-J8</f>
        <v>25</v>
      </c>
      <c r="K4" s="269">
        <f>INDEX(K8:K19,'All Rev &amp; Projects'!$A$228)-K8</f>
        <v>20</v>
      </c>
      <c r="L4" s="269">
        <f>INDEX(L8:L19,'All Rev &amp; Projects'!$A$228)-L8</f>
        <v>25</v>
      </c>
      <c r="M4" s="269">
        <f>INDEX(M8:M19,'All Rev &amp; Projects'!$A$228)-M8</f>
        <v>25</v>
      </c>
      <c r="N4" s="269">
        <f>INDEX(N8:N19,'All Rev &amp; Projects'!$A$228)-N8</f>
        <v>30</v>
      </c>
      <c r="O4" s="269">
        <f>INDEX(O8:O19,'All Rev &amp; Projects'!$A$228)-O8</f>
        <v>30</v>
      </c>
      <c r="P4" s="269">
        <f>INDEX(P8:P19,'All Rev &amp; Projects'!$A$228)-P8</f>
        <v>30</v>
      </c>
    </row>
    <row r="6" spans="1:16" ht="18.75">
      <c r="A6" s="398" t="s">
        <v>528</v>
      </c>
      <c r="C6" t="s">
        <v>711</v>
      </c>
    </row>
    <row r="7" spans="1:16">
      <c r="A7" s="399" t="s">
        <v>511</v>
      </c>
      <c r="B7" s="400" t="s">
        <v>2</v>
      </c>
      <c r="C7" s="400" t="s">
        <v>3</v>
      </c>
      <c r="D7" s="400" t="s">
        <v>4</v>
      </c>
      <c r="E7" s="400" t="s">
        <v>5</v>
      </c>
      <c r="F7" s="400" t="s">
        <v>6</v>
      </c>
      <c r="G7" s="400" t="s">
        <v>7</v>
      </c>
      <c r="H7" s="400" t="s">
        <v>8</v>
      </c>
      <c r="I7" s="400" t="s">
        <v>9</v>
      </c>
      <c r="J7" s="400" t="s">
        <v>21</v>
      </c>
      <c r="K7" s="401" t="s">
        <v>35</v>
      </c>
      <c r="L7" s="401" t="s">
        <v>36</v>
      </c>
      <c r="M7" s="401" t="s">
        <v>37</v>
      </c>
      <c r="N7" s="401" t="s">
        <v>38</v>
      </c>
      <c r="O7" s="401" t="s">
        <v>39</v>
      </c>
      <c r="P7" s="401" t="s">
        <v>40</v>
      </c>
    </row>
    <row r="8" spans="1:16">
      <c r="A8" s="402" t="s">
        <v>512</v>
      </c>
      <c r="B8" s="403">
        <v>400</v>
      </c>
      <c r="C8" s="403">
        <v>210</v>
      </c>
      <c r="D8" s="403">
        <v>115</v>
      </c>
      <c r="E8" s="403">
        <v>75</v>
      </c>
      <c r="F8" s="403">
        <v>65</v>
      </c>
      <c r="G8" s="403">
        <v>80</v>
      </c>
      <c r="H8" s="403">
        <v>65</v>
      </c>
      <c r="I8" s="403">
        <v>40</v>
      </c>
      <c r="J8" s="404">
        <v>0</v>
      </c>
      <c r="K8" s="405">
        <v>0</v>
      </c>
      <c r="L8">
        <v>0</v>
      </c>
      <c r="M8">
        <v>0</v>
      </c>
      <c r="N8">
        <v>0</v>
      </c>
      <c r="O8">
        <v>0</v>
      </c>
      <c r="P8">
        <v>0</v>
      </c>
    </row>
    <row r="9" spans="1:16">
      <c r="A9" s="406">
        <v>40</v>
      </c>
      <c r="B9" s="407">
        <v>580</v>
      </c>
      <c r="C9" s="407">
        <v>420</v>
      </c>
      <c r="D9" s="407">
        <v>250</v>
      </c>
      <c r="E9" s="407">
        <v>195</v>
      </c>
      <c r="F9" s="407">
        <v>160</v>
      </c>
      <c r="G9" s="407">
        <v>155</v>
      </c>
      <c r="H9" s="407">
        <v>145</v>
      </c>
      <c r="I9" s="407">
        <v>130</v>
      </c>
      <c r="J9" s="407">
        <v>105</v>
      </c>
      <c r="K9" s="408">
        <v>95</v>
      </c>
      <c r="L9">
        <v>95</v>
      </c>
      <c r="M9">
        <v>90</v>
      </c>
      <c r="N9">
        <v>90</v>
      </c>
      <c r="O9">
        <v>90</v>
      </c>
      <c r="P9">
        <v>85</v>
      </c>
    </row>
    <row r="10" spans="1:16">
      <c r="A10" s="406">
        <v>50</v>
      </c>
      <c r="B10" s="407">
        <v>490</v>
      </c>
      <c r="C10" s="407">
        <v>325</v>
      </c>
      <c r="D10" s="407">
        <v>180</v>
      </c>
      <c r="E10" s="407">
        <v>135</v>
      </c>
      <c r="F10" s="407">
        <v>115</v>
      </c>
      <c r="G10" s="407">
        <v>120</v>
      </c>
      <c r="H10" s="407">
        <v>110</v>
      </c>
      <c r="I10" s="407">
        <v>95</v>
      </c>
      <c r="J10" s="407">
        <v>65</v>
      </c>
      <c r="K10" s="408">
        <v>60</v>
      </c>
      <c r="L10">
        <v>65</v>
      </c>
      <c r="M10">
        <v>65</v>
      </c>
      <c r="N10">
        <v>65</v>
      </c>
      <c r="O10">
        <v>65</v>
      </c>
      <c r="P10">
        <v>70</v>
      </c>
    </row>
    <row r="11" spans="1:16">
      <c r="A11" s="406">
        <v>60</v>
      </c>
      <c r="B11" s="407">
        <v>430</v>
      </c>
      <c r="C11" s="407">
        <v>270</v>
      </c>
      <c r="D11" s="407">
        <v>145</v>
      </c>
      <c r="E11" s="407">
        <v>105</v>
      </c>
      <c r="F11" s="407">
        <v>90</v>
      </c>
      <c r="G11" s="407">
        <v>95</v>
      </c>
      <c r="H11" s="407">
        <v>85</v>
      </c>
      <c r="I11" s="407">
        <v>75</v>
      </c>
      <c r="J11" s="407">
        <v>45</v>
      </c>
      <c r="K11" s="408">
        <v>40</v>
      </c>
      <c r="L11">
        <v>40</v>
      </c>
      <c r="M11">
        <v>40</v>
      </c>
      <c r="N11">
        <v>40</v>
      </c>
      <c r="O11">
        <v>45</v>
      </c>
      <c r="P11">
        <v>50</v>
      </c>
    </row>
    <row r="12" spans="1:16">
      <c r="A12" s="406">
        <v>70</v>
      </c>
      <c r="B12" s="407">
        <v>380</v>
      </c>
      <c r="C12" s="407">
        <v>250</v>
      </c>
      <c r="D12" s="407">
        <v>135</v>
      </c>
      <c r="E12" s="407">
        <v>100</v>
      </c>
      <c r="F12" s="407">
        <v>75</v>
      </c>
      <c r="G12" s="407">
        <v>85</v>
      </c>
      <c r="H12" s="407">
        <v>70</v>
      </c>
      <c r="I12" s="407">
        <v>55</v>
      </c>
      <c r="J12" s="407">
        <v>25</v>
      </c>
      <c r="K12" s="408">
        <v>20</v>
      </c>
      <c r="L12">
        <v>25</v>
      </c>
      <c r="M12">
        <v>25</v>
      </c>
      <c r="N12">
        <v>30</v>
      </c>
      <c r="O12">
        <v>30</v>
      </c>
      <c r="P12">
        <v>30</v>
      </c>
    </row>
    <row r="13" spans="1:16">
      <c r="A13" s="406">
        <v>80</v>
      </c>
      <c r="B13" s="407">
        <v>360</v>
      </c>
      <c r="C13" s="407">
        <v>225</v>
      </c>
      <c r="D13" s="407">
        <v>125</v>
      </c>
      <c r="E13" s="407">
        <v>90</v>
      </c>
      <c r="F13" s="407">
        <v>70</v>
      </c>
      <c r="G13" s="407">
        <v>80</v>
      </c>
      <c r="H13" s="407">
        <v>70</v>
      </c>
      <c r="I13" s="407">
        <v>50</v>
      </c>
      <c r="J13" s="407">
        <v>15</v>
      </c>
      <c r="K13" s="408">
        <v>10</v>
      </c>
      <c r="L13">
        <v>10</v>
      </c>
      <c r="M13">
        <v>15</v>
      </c>
      <c r="N13">
        <v>15</v>
      </c>
      <c r="O13">
        <v>20</v>
      </c>
      <c r="P13">
        <v>20</v>
      </c>
    </row>
    <row r="14" spans="1:16">
      <c r="A14" s="406">
        <v>90</v>
      </c>
      <c r="B14" s="407">
        <v>340</v>
      </c>
      <c r="C14" s="407">
        <v>200</v>
      </c>
      <c r="D14" s="407">
        <v>115</v>
      </c>
      <c r="E14" s="407">
        <v>80</v>
      </c>
      <c r="F14" s="407">
        <v>65</v>
      </c>
      <c r="G14" s="407">
        <v>80</v>
      </c>
      <c r="H14" s="407">
        <v>70</v>
      </c>
      <c r="I14" s="407">
        <v>50</v>
      </c>
      <c r="J14" s="407">
        <v>10</v>
      </c>
      <c r="K14" s="408">
        <v>5</v>
      </c>
      <c r="L14">
        <v>10</v>
      </c>
      <c r="M14">
        <v>10</v>
      </c>
      <c r="N14">
        <v>10</v>
      </c>
      <c r="O14">
        <v>10</v>
      </c>
      <c r="P14">
        <v>10</v>
      </c>
    </row>
    <row r="15" spans="1:16">
      <c r="A15" s="406">
        <v>100</v>
      </c>
      <c r="B15" s="407">
        <v>320</v>
      </c>
      <c r="C15" s="407">
        <v>175</v>
      </c>
      <c r="D15" s="407">
        <v>105</v>
      </c>
      <c r="E15" s="407">
        <v>70</v>
      </c>
      <c r="F15" s="407">
        <v>65</v>
      </c>
      <c r="G15" s="407">
        <v>80</v>
      </c>
      <c r="H15" s="407">
        <v>65</v>
      </c>
      <c r="I15" s="407">
        <v>45</v>
      </c>
      <c r="J15" s="407">
        <v>5</v>
      </c>
      <c r="K15" s="408">
        <v>5</v>
      </c>
      <c r="L15">
        <v>5</v>
      </c>
      <c r="M15">
        <v>5</v>
      </c>
      <c r="N15">
        <v>5</v>
      </c>
      <c r="O15">
        <v>10</v>
      </c>
      <c r="P15">
        <v>10</v>
      </c>
    </row>
    <row r="16" spans="1:16">
      <c r="A16" s="406">
        <v>110</v>
      </c>
      <c r="B16" s="407">
        <v>300</v>
      </c>
      <c r="C16" s="407">
        <v>165</v>
      </c>
      <c r="D16" s="407">
        <v>95</v>
      </c>
      <c r="E16" s="407">
        <v>65</v>
      </c>
      <c r="F16" s="407">
        <v>65</v>
      </c>
      <c r="G16" s="407">
        <v>80</v>
      </c>
      <c r="H16" s="407">
        <v>65</v>
      </c>
      <c r="I16" s="407">
        <v>45</v>
      </c>
      <c r="J16" s="407">
        <v>0</v>
      </c>
      <c r="K16" s="408">
        <v>0</v>
      </c>
      <c r="L16">
        <v>0</v>
      </c>
      <c r="M16">
        <v>5</v>
      </c>
      <c r="N16">
        <v>5</v>
      </c>
      <c r="O16">
        <v>5</v>
      </c>
      <c r="P16">
        <v>5</v>
      </c>
    </row>
    <row r="17" spans="1:32">
      <c r="A17" s="406">
        <v>120</v>
      </c>
      <c r="B17" s="407">
        <v>285</v>
      </c>
      <c r="C17" s="407">
        <v>155</v>
      </c>
      <c r="D17" s="407">
        <v>85</v>
      </c>
      <c r="E17" s="407">
        <v>55</v>
      </c>
      <c r="F17" s="407">
        <v>60</v>
      </c>
      <c r="G17" s="407">
        <v>75</v>
      </c>
      <c r="H17" s="407">
        <v>65</v>
      </c>
      <c r="I17" s="407">
        <v>40</v>
      </c>
      <c r="J17" s="407">
        <v>0</v>
      </c>
      <c r="K17" s="408">
        <v>0</v>
      </c>
      <c r="L17">
        <v>0</v>
      </c>
      <c r="M17">
        <v>0</v>
      </c>
      <c r="N17">
        <v>0</v>
      </c>
      <c r="O17">
        <v>5</v>
      </c>
      <c r="P17">
        <v>5</v>
      </c>
    </row>
    <row r="18" spans="1:32">
      <c r="A18" s="406">
        <v>130</v>
      </c>
      <c r="B18" s="407">
        <v>265</v>
      </c>
      <c r="C18" s="407">
        <v>140</v>
      </c>
      <c r="D18" s="407">
        <v>70</v>
      </c>
      <c r="E18" s="407">
        <v>55</v>
      </c>
      <c r="F18" s="407">
        <v>60</v>
      </c>
      <c r="G18" s="407">
        <v>75</v>
      </c>
      <c r="H18" s="407">
        <v>65</v>
      </c>
      <c r="I18" s="407">
        <v>40</v>
      </c>
      <c r="J18" s="407">
        <v>0</v>
      </c>
      <c r="K18" s="408">
        <v>0</v>
      </c>
      <c r="L18">
        <v>0</v>
      </c>
      <c r="M18">
        <v>0</v>
      </c>
      <c r="N18">
        <v>0</v>
      </c>
      <c r="O18">
        <v>5</v>
      </c>
      <c r="P18">
        <v>5</v>
      </c>
    </row>
    <row r="19" spans="1:32">
      <c r="A19" s="412">
        <v>140</v>
      </c>
      <c r="B19" s="413">
        <v>245</v>
      </c>
      <c r="C19" s="413">
        <v>130</v>
      </c>
      <c r="D19" s="413">
        <v>65</v>
      </c>
      <c r="E19" s="413">
        <v>50</v>
      </c>
      <c r="F19" s="413">
        <v>60</v>
      </c>
      <c r="G19" s="413">
        <v>75</v>
      </c>
      <c r="H19" s="413">
        <v>65</v>
      </c>
      <c r="I19" s="413">
        <v>35</v>
      </c>
      <c r="J19" s="413">
        <v>0</v>
      </c>
      <c r="K19" s="414">
        <v>0</v>
      </c>
      <c r="L19">
        <v>0</v>
      </c>
      <c r="M19">
        <v>0</v>
      </c>
      <c r="N19">
        <v>0</v>
      </c>
      <c r="O19">
        <v>0</v>
      </c>
      <c r="P19">
        <v>0</v>
      </c>
    </row>
    <row r="20" spans="1:32">
      <c r="A20" s="407"/>
      <c r="B20" s="407"/>
      <c r="C20" s="407"/>
      <c r="D20" s="407"/>
      <c r="E20" s="407"/>
      <c r="F20" s="407"/>
      <c r="G20" s="407"/>
      <c r="H20" s="407"/>
      <c r="I20" s="407"/>
      <c r="J20" s="407"/>
      <c r="K20" s="407"/>
    </row>
    <row r="21" spans="1:32">
      <c r="A21" s="407"/>
      <c r="B21" s="407"/>
      <c r="C21" s="407"/>
      <c r="D21" s="407"/>
      <c r="E21" s="407"/>
      <c r="F21" s="407"/>
      <c r="G21" s="407"/>
      <c r="H21" s="407"/>
      <c r="I21" s="407"/>
      <c r="J21" s="407"/>
      <c r="K21" s="407"/>
    </row>
    <row r="22" spans="1:32">
      <c r="A22">
        <f>INDEX(A26:A37,'All Rev &amp; Projects'!$A$228)</f>
        <v>70</v>
      </c>
      <c r="B22" s="269">
        <f>IF(INDEX(B26:B37,'All Rev &amp; Projects'!$A$228)-B26&lt;0,-MIN(ABS(INDEX(B26:B37,'All Rev &amp; Projects'!$A$228)-B26),B23*'Credit Detail w Confidentiality'!K12),INDEX(B26:B37,'All Rev &amp; Projects'!$A$228)-B26)</f>
        <v>-5</v>
      </c>
      <c r="C22" s="269">
        <f>IF(INDEX(C26:C37,'All Rev &amp; Projects'!$A$228)-C26&lt;0,-MIN(ABS(INDEX(C26:C37,'All Rev &amp; Projects'!$A$228)-C26),C23*'Credit Detail w Confidentiality'!L12),INDEX(C26:C37,'All Rev &amp; Projects'!$A$228)-C26)</f>
        <v>20</v>
      </c>
      <c r="D22" s="269">
        <f>IF(INDEX(D26:D37,'All Rev &amp; Projects'!$A$228)-D26&lt;0,-MIN(ABS(INDEX(D26:D37,'All Rev &amp; Projects'!$A$228)-D26),D23*'Credit Detail w Confidentiality'!M12),INDEX(D26:D37,'All Rev &amp; Projects'!$A$228)-D26)</f>
        <v>15</v>
      </c>
      <c r="E22" s="269">
        <f>IF(INDEX(E26:E37,'All Rev &amp; Projects'!$A$228)-E26&lt;0,-MIN(ABS(INDEX(E26:E37,'All Rev &amp; Projects'!$A$228)-E26),E23*'Credit Detail w Confidentiality'!N12),INDEX(E26:E37,'All Rev &amp; Projects'!$A$228)-E26)</f>
        <v>20</v>
      </c>
      <c r="F22" s="269">
        <f>IF(INDEX(F26:F37,'All Rev &amp; Projects'!$A$228)-F26&lt;0,-MIN(ABS(INDEX(F26:F37,'All Rev &amp; Projects'!$A$228)-F26),F23*'Credit Detail w Confidentiality'!O12),INDEX(F26:F37,'All Rev &amp; Projects'!$A$228)-F26)</f>
        <v>30</v>
      </c>
      <c r="G22" s="269">
        <f>IF(INDEX(G26:G37,'All Rev &amp; Projects'!$A$228)-G26&lt;0,-MIN(ABS(INDEX(G26:G37,'All Rev &amp; Projects'!$A$228)-G26),G23*'Credit Detail w Confidentiality'!P12),INDEX(G26:G37,'All Rev &amp; Projects'!$A$228)-G26)</f>
        <v>25</v>
      </c>
      <c r="H22" s="269">
        <f>IF(INDEX(H26:H37,'All Rev &amp; Projects'!$A$228)-H26&lt;0,-MIN(ABS(INDEX(H26:H37,'All Rev &amp; Projects'!$A$228)-H26),H23*'Credit Detail w Confidentiality'!Q12),INDEX(H26:H37,'All Rev &amp; Projects'!$A$228)-H26)</f>
        <v>20</v>
      </c>
      <c r="I22" s="269">
        <f>IF(INDEX(I26:I37,'All Rev &amp; Projects'!$A$228)-I26&lt;0,-MIN(ABS(INDEX(I26:I37,'All Rev &amp; Projects'!$A$228)-I26),I23*'Credit Detail w Confidentiality'!R12),INDEX(I26:I37,'All Rev &amp; Projects'!$A$228)-I26)</f>
        <v>20</v>
      </c>
      <c r="J22" s="269">
        <f>IF(INDEX(J26:J37,'All Rev &amp; Projects'!$A$228)-J26&lt;0,-MIN(ABS(INDEX(J26:J37,'All Rev &amp; Projects'!$A$228)-J26),J23*'Credit Detail w Confidentiality'!S12),INDEX(J26:J37,'All Rev &amp; Projects'!$A$228)-J26)</f>
        <v>20</v>
      </c>
      <c r="K22" s="269">
        <f>IF(INDEX(K26:K37,'All Rev &amp; Projects'!$A$228)-K26&lt;0,-MIN(ABS(INDEX(K26:K37,'All Rev &amp; Projects'!$A$228)-K26),K23*'Credit Detail w Confidentiality'!T12),INDEX(K26:K37,'All Rev &amp; Projects'!$A$228)-K26)</f>
        <v>15</v>
      </c>
      <c r="L22" s="269">
        <f>IF(INDEX(L26:L37,'All Rev &amp; Projects'!$A$228)-L26&lt;0,-MIN(ABS(INDEX(L26:L37,'All Rev &amp; Projects'!$A$228)-L26),L23*'Credit Detail w Confidentiality'!U12),INDEX(L26:L37,'All Rev &amp; Projects'!$A$228)-L26)</f>
        <v>15</v>
      </c>
      <c r="M22" s="269">
        <f>IF(INDEX(M26:M37,'All Rev &amp; Projects'!$A$228)-M26&lt;0,-MIN(ABS(INDEX(M26:M37,'All Rev &amp; Projects'!$A$228)-M26),M23*'Credit Detail w Confidentiality'!V12),INDEX(M26:M37,'All Rev &amp; Projects'!$A$228)-M26)</f>
        <v>15</v>
      </c>
      <c r="N22" s="269">
        <f>IF(INDEX(N26:N37,'All Rev &amp; Projects'!$A$228)-N26&lt;0,-MIN(ABS(INDEX(N26:N37,'All Rev &amp; Projects'!$A$228)-N26),N23*'Credit Detail w Confidentiality'!W12),INDEX(N26:N37,'All Rev &amp; Projects'!$A$228)-N26)</f>
        <v>10</v>
      </c>
      <c r="O22" s="269">
        <f>IF(INDEX(O26:O37,'All Rev &amp; Projects'!$A$228)-O26&lt;0,-MIN(ABS(INDEX(O26:O37,'All Rev &amp; Projects'!$A$228)-O26),O23*'Credit Detail w Confidentiality'!X12),INDEX(O26:O37,'All Rev &amp; Projects'!$A$228)-O26)</f>
        <v>10</v>
      </c>
      <c r="P22" s="269">
        <f>IF(INDEX(P26:P37,'All Rev &amp; Projects'!$A$228)-P26&lt;0,-MIN(ABS(INDEX(P26:P37,'All Rev &amp; Projects'!$A$228)-P26),P23*'Credit Detail w Confidentiality'!Y12),INDEX(P26:P37,'All Rev &amp; Projects'!$A$228)-P26)</f>
        <v>10</v>
      </c>
      <c r="R22" s="273"/>
      <c r="S22" s="273"/>
      <c r="T22" s="273"/>
      <c r="U22" s="273"/>
      <c r="V22" s="273"/>
      <c r="W22" s="273"/>
      <c r="X22" s="273"/>
      <c r="Y22" s="273"/>
      <c r="Z22" s="273"/>
      <c r="AA22" s="273"/>
      <c r="AB22" s="273"/>
      <c r="AC22" s="273"/>
      <c r="AD22" s="273"/>
      <c r="AE22" s="273"/>
      <c r="AF22" s="273"/>
    </row>
    <row r="23" spans="1:32">
      <c r="B23" s="273">
        <f>(INDEX(B26:B37,'All Rev &amp; Projects'!$A$228)/(INDEX(B26:B37,'All Rev &amp; Projects'!$A$228)+INDEX(B43:B54,'All Rev &amp; Projects'!$A$228)))</f>
        <v>0.26190476190476192</v>
      </c>
      <c r="C23" s="273">
        <f>(INDEX(C26:C37,'All Rev &amp; Projects'!$A$228)/(INDEX(C26:C37,'All Rev &amp; Projects'!$A$228)+INDEX(C43:C54,'All Rev &amp; Projects'!$A$228)))</f>
        <v>0.21951219512195122</v>
      </c>
      <c r="D23" s="273">
        <f>(INDEX(D26:D37,'All Rev &amp; Projects'!$A$228)/(INDEX(D26:D37,'All Rev &amp; Projects'!$A$228)+INDEX(D43:D54,'All Rev &amp; Projects'!$A$228)))</f>
        <v>0.25714285714285712</v>
      </c>
      <c r="E23" s="273">
        <f>(INDEX(E26:E37,'All Rev &amp; Projects'!$A$228)/(INDEX(E26:E37,'All Rev &amp; Projects'!$A$228)+INDEX(E43:E54,'All Rev &amp; Projects'!$A$228)))</f>
        <v>0.25</v>
      </c>
      <c r="F23" s="273">
        <f>(INDEX(F26:F37,'All Rev &amp; Projects'!$A$228)/(INDEX(F26:F37,'All Rev &amp; Projects'!$A$228)+INDEX(F43:F54,'All Rev &amp; Projects'!$A$228)))</f>
        <v>0.1951219512195122</v>
      </c>
      <c r="G23" s="273">
        <f>(INDEX(G26:G37,'All Rev &amp; Projects'!$A$228)/(INDEX(G26:G37,'All Rev &amp; Projects'!$A$228)+INDEX(G43:G54,'All Rev &amp; Projects'!$A$228)))</f>
        <v>0.12820512820512819</v>
      </c>
      <c r="H23" s="273">
        <f>(INDEX(H26:H37,'All Rev &amp; Projects'!$A$228)/(INDEX(H26:H37,'All Rev &amp; Projects'!$A$228)+INDEX(H43:H54,'All Rev &amp; Projects'!$A$228)))</f>
        <v>9.3023255813953487E-2</v>
      </c>
      <c r="I23" s="273">
        <f>(INDEX(I26:I37,'All Rev &amp; Projects'!$A$228)/(INDEX(I26:I37,'All Rev &amp; Projects'!$A$228)+INDEX(I43:I54,'All Rev &amp; Projects'!$A$228)))</f>
        <v>8.3333333333333329E-2</v>
      </c>
      <c r="J23" s="273">
        <f>(INDEX(J26:J37,'All Rev &amp; Projects'!$A$228)/(INDEX(J26:J37,'All Rev &amp; Projects'!$A$228)+INDEX(J43:J54,'All Rev &amp; Projects'!$A$228)))</f>
        <v>6.8965517241379309E-2</v>
      </c>
      <c r="K23" s="273">
        <f>(INDEX(K26:K37,'All Rev &amp; Projects'!$A$228)/(INDEX(K26:K37,'All Rev &amp; Projects'!$A$228)+INDEX(K43:K54,'All Rev &amp; Projects'!$A$228)))</f>
        <v>5.2631578947368418E-2</v>
      </c>
      <c r="L23" s="273">
        <f>(INDEX(L26:L37,'All Rev &amp; Projects'!$A$228)/(INDEX(L26:L37,'All Rev &amp; Projects'!$A$228)+INDEX(L43:L54,'All Rev &amp; Projects'!$A$228)))</f>
        <v>5.2631578947368418E-2</v>
      </c>
      <c r="M23" s="273">
        <f>(INDEX(M26:M37,'All Rev &amp; Projects'!$A$228)/(INDEX(M26:M37,'All Rev &amp; Projects'!$A$228)+INDEX(M43:M54,'All Rev &amp; Projects'!$A$228)))</f>
        <v>5.2631578947368418E-2</v>
      </c>
      <c r="N23" s="273">
        <f>(INDEX(N26:N37,'All Rev &amp; Projects'!$A$228)/(INDEX(N26:N37,'All Rev &amp; Projects'!$A$228)+INDEX(N43:N54,'All Rev &amp; Projects'!$A$228)))</f>
        <v>3.5714285714285712E-2</v>
      </c>
      <c r="O23" s="273">
        <f>(INDEX(O26:O37,'All Rev &amp; Projects'!$A$228)/(INDEX(O26:O37,'All Rev &amp; Projects'!$A$228)+INDEX(O43:O54,'All Rev &amp; Projects'!$A$228)))</f>
        <v>3.5714285714285712E-2</v>
      </c>
      <c r="P23" s="273">
        <f>(INDEX(P26:P37,'All Rev &amp; Projects'!$A$228)/(INDEX(P26:P37,'All Rev &amp; Projects'!$A$228)+INDEX(P43:P54,'All Rev &amp; Projects'!$A$228)))</f>
        <v>3.5714285714285712E-2</v>
      </c>
      <c r="R23" s="273"/>
      <c r="S23" s="273"/>
      <c r="T23" s="273"/>
      <c r="U23" s="273"/>
      <c r="V23" s="273"/>
      <c r="W23" s="273"/>
      <c r="X23" s="273"/>
      <c r="Y23" s="273"/>
      <c r="Z23" s="273"/>
      <c r="AA23" s="273"/>
      <c r="AB23" s="273"/>
      <c r="AC23" s="273"/>
      <c r="AD23" s="273"/>
      <c r="AE23" s="273"/>
      <c r="AF23" s="273"/>
    </row>
    <row r="24" spans="1:32" ht="18.75">
      <c r="A24" s="398" t="s">
        <v>872</v>
      </c>
      <c r="D24" t="s">
        <v>712</v>
      </c>
    </row>
    <row r="25" spans="1:32">
      <c r="A25" s="399" t="s">
        <v>511</v>
      </c>
      <c r="B25" s="400" t="s">
        <v>2</v>
      </c>
      <c r="C25" s="400" t="s">
        <v>3</v>
      </c>
      <c r="D25" s="400" t="s">
        <v>4</v>
      </c>
      <c r="E25" s="400" t="s">
        <v>5</v>
      </c>
      <c r="F25" s="400" t="s">
        <v>6</v>
      </c>
      <c r="G25" s="400" t="s">
        <v>7</v>
      </c>
      <c r="H25" s="400" t="s">
        <v>8</v>
      </c>
      <c r="I25" s="400" t="s">
        <v>9</v>
      </c>
      <c r="J25" s="400" t="s">
        <v>21</v>
      </c>
      <c r="K25" s="401" t="s">
        <v>35</v>
      </c>
      <c r="L25" s="401" t="s">
        <v>36</v>
      </c>
      <c r="M25" s="401" t="s">
        <v>37</v>
      </c>
      <c r="N25" s="401" t="s">
        <v>38</v>
      </c>
      <c r="O25" s="401" t="s">
        <v>39</v>
      </c>
      <c r="P25" s="401" t="s">
        <v>40</v>
      </c>
    </row>
    <row r="26" spans="1:32">
      <c r="A26" s="402" t="s">
        <v>512</v>
      </c>
      <c r="B26" s="403">
        <v>60</v>
      </c>
      <c r="C26" s="403">
        <v>25</v>
      </c>
      <c r="D26" s="403">
        <v>30</v>
      </c>
      <c r="E26" s="403">
        <v>20</v>
      </c>
      <c r="F26" s="403">
        <v>10</v>
      </c>
      <c r="G26" s="403">
        <v>0</v>
      </c>
      <c r="H26" s="403">
        <v>0</v>
      </c>
      <c r="I26" s="403">
        <v>0</v>
      </c>
      <c r="J26" s="404">
        <v>0</v>
      </c>
      <c r="K26" s="405">
        <v>0</v>
      </c>
      <c r="L26">
        <v>0</v>
      </c>
      <c r="M26">
        <v>0</v>
      </c>
      <c r="N26">
        <v>0</v>
      </c>
      <c r="O26">
        <v>0</v>
      </c>
      <c r="P26">
        <v>0</v>
      </c>
    </row>
    <row r="27" spans="1:32">
      <c r="A27" s="406">
        <v>40</v>
      </c>
      <c r="B27" s="407">
        <v>90</v>
      </c>
      <c r="C27" s="407">
        <v>75</v>
      </c>
      <c r="D27" s="407">
        <v>75</v>
      </c>
      <c r="E27" s="407">
        <v>65</v>
      </c>
      <c r="F27" s="407">
        <v>60</v>
      </c>
      <c r="G27" s="407">
        <v>45</v>
      </c>
      <c r="H27" s="407">
        <v>40</v>
      </c>
      <c r="I27" s="407">
        <v>40</v>
      </c>
      <c r="J27" s="407">
        <v>35</v>
      </c>
      <c r="K27" s="408">
        <v>35</v>
      </c>
      <c r="L27">
        <v>30</v>
      </c>
      <c r="M27">
        <v>30</v>
      </c>
      <c r="N27">
        <v>25</v>
      </c>
      <c r="O27">
        <v>25</v>
      </c>
      <c r="P27">
        <v>20</v>
      </c>
    </row>
    <row r="28" spans="1:32">
      <c r="A28" s="406">
        <v>50</v>
      </c>
      <c r="B28" s="407">
        <v>80</v>
      </c>
      <c r="C28" s="407">
        <v>65</v>
      </c>
      <c r="D28" s="407">
        <v>65</v>
      </c>
      <c r="E28" s="407">
        <v>60</v>
      </c>
      <c r="F28" s="407">
        <v>55</v>
      </c>
      <c r="G28" s="407">
        <v>40</v>
      </c>
      <c r="H28" s="407">
        <v>35</v>
      </c>
      <c r="I28" s="407">
        <v>35</v>
      </c>
      <c r="J28" s="407">
        <v>30</v>
      </c>
      <c r="K28" s="408">
        <v>30</v>
      </c>
      <c r="L28">
        <v>25</v>
      </c>
      <c r="M28">
        <v>25</v>
      </c>
      <c r="N28">
        <v>20</v>
      </c>
      <c r="O28">
        <v>20</v>
      </c>
      <c r="P28">
        <v>15</v>
      </c>
    </row>
    <row r="29" spans="1:32">
      <c r="A29" s="406">
        <v>60</v>
      </c>
      <c r="B29" s="407">
        <v>65</v>
      </c>
      <c r="C29" s="407">
        <v>55</v>
      </c>
      <c r="D29" s="407">
        <v>55</v>
      </c>
      <c r="E29" s="407">
        <v>50</v>
      </c>
      <c r="F29" s="407">
        <v>45</v>
      </c>
      <c r="G29" s="407">
        <v>30</v>
      </c>
      <c r="H29" s="407">
        <v>30</v>
      </c>
      <c r="I29" s="407">
        <v>25</v>
      </c>
      <c r="J29" s="407">
        <v>25</v>
      </c>
      <c r="K29" s="408">
        <v>20</v>
      </c>
      <c r="L29">
        <v>20</v>
      </c>
      <c r="M29">
        <v>20</v>
      </c>
      <c r="N29">
        <v>15</v>
      </c>
      <c r="O29">
        <v>15</v>
      </c>
      <c r="P29">
        <v>15</v>
      </c>
    </row>
    <row r="30" spans="1:32">
      <c r="A30" s="406">
        <v>70</v>
      </c>
      <c r="B30" s="407">
        <v>55</v>
      </c>
      <c r="C30" s="407">
        <v>45</v>
      </c>
      <c r="D30" s="407">
        <v>45</v>
      </c>
      <c r="E30" s="407">
        <v>40</v>
      </c>
      <c r="F30" s="407">
        <v>40</v>
      </c>
      <c r="G30" s="407">
        <v>25</v>
      </c>
      <c r="H30" s="407">
        <v>20</v>
      </c>
      <c r="I30" s="407">
        <v>20</v>
      </c>
      <c r="J30" s="407">
        <v>20</v>
      </c>
      <c r="K30" s="408">
        <v>15</v>
      </c>
      <c r="L30">
        <v>15</v>
      </c>
      <c r="M30">
        <v>15</v>
      </c>
      <c r="N30">
        <v>10</v>
      </c>
      <c r="O30">
        <v>10</v>
      </c>
      <c r="P30">
        <v>10</v>
      </c>
    </row>
    <row r="31" spans="1:32">
      <c r="A31" s="406">
        <v>80</v>
      </c>
      <c r="B31" s="407">
        <v>45</v>
      </c>
      <c r="C31" s="407">
        <v>35</v>
      </c>
      <c r="D31" s="407">
        <v>35</v>
      </c>
      <c r="E31" s="407">
        <v>35</v>
      </c>
      <c r="F31" s="407">
        <v>30</v>
      </c>
      <c r="G31" s="407">
        <v>15</v>
      </c>
      <c r="H31" s="407">
        <v>15</v>
      </c>
      <c r="I31" s="407">
        <v>15</v>
      </c>
      <c r="J31" s="407">
        <v>15</v>
      </c>
      <c r="K31" s="408">
        <v>10</v>
      </c>
      <c r="L31">
        <v>10</v>
      </c>
      <c r="M31">
        <v>10</v>
      </c>
      <c r="N31">
        <v>10</v>
      </c>
      <c r="O31">
        <v>5</v>
      </c>
      <c r="P31">
        <v>5</v>
      </c>
    </row>
    <row r="32" spans="1:32">
      <c r="A32" s="406">
        <v>90</v>
      </c>
      <c r="B32" s="407">
        <v>30</v>
      </c>
      <c r="C32" s="407">
        <v>25</v>
      </c>
      <c r="D32" s="407">
        <v>25</v>
      </c>
      <c r="E32" s="407">
        <v>25</v>
      </c>
      <c r="F32" s="407">
        <v>25</v>
      </c>
      <c r="G32" s="407">
        <v>10</v>
      </c>
      <c r="H32" s="407">
        <v>10</v>
      </c>
      <c r="I32" s="407">
        <v>10</v>
      </c>
      <c r="J32" s="407">
        <v>5</v>
      </c>
      <c r="K32" s="408">
        <v>5</v>
      </c>
      <c r="L32">
        <v>5</v>
      </c>
      <c r="M32">
        <v>5</v>
      </c>
      <c r="N32">
        <v>5</v>
      </c>
      <c r="O32">
        <v>5</v>
      </c>
      <c r="P32">
        <v>0</v>
      </c>
    </row>
    <row r="33" spans="1:34">
      <c r="A33" s="406">
        <v>100</v>
      </c>
      <c r="B33" s="407">
        <v>20</v>
      </c>
      <c r="C33" s="407">
        <v>15</v>
      </c>
      <c r="D33" s="407">
        <v>20</v>
      </c>
      <c r="E33" s="407">
        <v>15</v>
      </c>
      <c r="F33" s="407">
        <v>15</v>
      </c>
      <c r="G33" s="407">
        <v>5</v>
      </c>
      <c r="H33" s="407">
        <v>5</v>
      </c>
      <c r="I33" s="407">
        <v>0</v>
      </c>
      <c r="J33" s="407">
        <v>0</v>
      </c>
      <c r="K33" s="408">
        <v>0</v>
      </c>
      <c r="L33">
        <v>0</v>
      </c>
      <c r="M33">
        <v>0</v>
      </c>
      <c r="N33">
        <v>0</v>
      </c>
      <c r="O33">
        <v>0</v>
      </c>
      <c r="P33">
        <v>0</v>
      </c>
    </row>
    <row r="34" spans="1:34">
      <c r="A34" s="406">
        <v>110</v>
      </c>
      <c r="B34" s="407">
        <v>10</v>
      </c>
      <c r="C34" s="407">
        <v>0</v>
      </c>
      <c r="D34" s="407">
        <v>10</v>
      </c>
      <c r="E34" s="407">
        <v>10</v>
      </c>
      <c r="F34" s="407">
        <v>10</v>
      </c>
      <c r="G34" s="407">
        <v>0</v>
      </c>
      <c r="H34" s="407">
        <v>0</v>
      </c>
      <c r="I34" s="407">
        <v>0</v>
      </c>
      <c r="J34" s="407">
        <v>0</v>
      </c>
      <c r="K34" s="408">
        <v>0</v>
      </c>
      <c r="L34">
        <v>0</v>
      </c>
      <c r="M34">
        <v>0</v>
      </c>
      <c r="N34">
        <v>0</v>
      </c>
      <c r="O34">
        <v>0</v>
      </c>
      <c r="P34">
        <v>0</v>
      </c>
    </row>
    <row r="35" spans="1:34">
      <c r="A35" s="406">
        <v>120</v>
      </c>
      <c r="B35" s="407">
        <v>0</v>
      </c>
      <c r="C35" s="407">
        <v>0</v>
      </c>
      <c r="D35" s="407">
        <v>0</v>
      </c>
      <c r="E35" s="407">
        <v>0</v>
      </c>
      <c r="F35" s="407">
        <v>0</v>
      </c>
      <c r="G35" s="407">
        <v>0</v>
      </c>
      <c r="H35" s="407">
        <v>0</v>
      </c>
      <c r="I35" s="407">
        <v>0</v>
      </c>
      <c r="J35" s="407">
        <v>0</v>
      </c>
      <c r="K35" s="408">
        <v>0</v>
      </c>
      <c r="L35">
        <v>0</v>
      </c>
      <c r="M35">
        <v>0</v>
      </c>
      <c r="N35">
        <v>0</v>
      </c>
      <c r="O35">
        <v>0</v>
      </c>
      <c r="P35">
        <v>0</v>
      </c>
    </row>
    <row r="36" spans="1:34">
      <c r="A36" s="406">
        <v>130</v>
      </c>
      <c r="B36" s="407">
        <v>0</v>
      </c>
      <c r="C36" s="407">
        <v>0</v>
      </c>
      <c r="D36" s="407">
        <v>0</v>
      </c>
      <c r="E36" s="407">
        <v>0</v>
      </c>
      <c r="F36" s="407">
        <v>0</v>
      </c>
      <c r="G36" s="407">
        <v>0</v>
      </c>
      <c r="H36" s="407">
        <v>0</v>
      </c>
      <c r="I36" s="407">
        <v>0</v>
      </c>
      <c r="J36" s="407">
        <v>0</v>
      </c>
      <c r="K36" s="408">
        <v>0</v>
      </c>
      <c r="L36">
        <v>0</v>
      </c>
      <c r="M36">
        <v>0</v>
      </c>
      <c r="N36">
        <v>0</v>
      </c>
      <c r="O36">
        <v>0</v>
      </c>
      <c r="P36">
        <v>0</v>
      </c>
    </row>
    <row r="37" spans="1:34">
      <c r="A37" s="412">
        <v>140</v>
      </c>
      <c r="B37" s="413">
        <v>0</v>
      </c>
      <c r="C37" s="413">
        <v>0</v>
      </c>
      <c r="D37" s="413">
        <v>0</v>
      </c>
      <c r="E37" s="413">
        <v>0</v>
      </c>
      <c r="F37" s="413">
        <v>0</v>
      </c>
      <c r="G37" s="413">
        <v>0</v>
      </c>
      <c r="H37" s="413">
        <v>0</v>
      </c>
      <c r="I37" s="413">
        <v>0</v>
      </c>
      <c r="J37" s="413">
        <v>0</v>
      </c>
      <c r="K37" s="414">
        <v>0</v>
      </c>
      <c r="L37">
        <v>0</v>
      </c>
      <c r="M37">
        <v>0</v>
      </c>
      <c r="N37">
        <v>0</v>
      </c>
      <c r="O37">
        <v>0</v>
      </c>
      <c r="P37">
        <v>0</v>
      </c>
    </row>
    <row r="38" spans="1:34">
      <c r="A38" s="407"/>
      <c r="B38" s="407"/>
      <c r="C38" s="407"/>
      <c r="D38" s="407"/>
      <c r="E38" s="407"/>
      <c r="F38" s="407"/>
      <c r="G38" s="407"/>
      <c r="H38" s="407"/>
      <c r="I38" s="407"/>
      <c r="J38" s="407"/>
      <c r="K38" s="407"/>
    </row>
    <row r="39" spans="1:34">
      <c r="A39">
        <f>INDEX(A43:A54,'All Rev &amp; Projects'!$A$228)</f>
        <v>70</v>
      </c>
      <c r="B39" s="269">
        <f>INDEX(B43:B54,'All Rev &amp; Projects'!$A$228)-B43</f>
        <v>0</v>
      </c>
      <c r="C39" s="269">
        <f>INDEX(C43:C54,'All Rev &amp; Projects'!$A$228)-C43</f>
        <v>0</v>
      </c>
      <c r="D39" s="269">
        <f>INDEX(D43:D54,'All Rev &amp; Projects'!$A$228)-D43</f>
        <v>0</v>
      </c>
      <c r="E39" s="269">
        <f>INDEX(E43:E54,'All Rev &amp; Projects'!$A$228)-E43</f>
        <v>0</v>
      </c>
      <c r="F39" s="269">
        <f>INDEX(F43:F54,'All Rev &amp; Projects'!$A$228)-F43</f>
        <v>0</v>
      </c>
      <c r="G39" s="269">
        <f>INDEX(G43:G54,'All Rev &amp; Projects'!$A$228)-G43</f>
        <v>0</v>
      </c>
      <c r="H39" s="269">
        <f>INDEX(H43:H54,'All Rev &amp; Projects'!$A$228)-H43</f>
        <v>0</v>
      </c>
      <c r="I39" s="269">
        <f>INDEX(I43:I54,'All Rev &amp; Projects'!$A$228)-I43</f>
        <v>0</v>
      </c>
      <c r="J39" s="269">
        <f>INDEX(J43:J54,'All Rev &amp; Projects'!$A$228)-J43</f>
        <v>0</v>
      </c>
      <c r="K39" s="269">
        <f>INDEX(K43:K54,'All Rev &amp; Projects'!$A$228)-K43</f>
        <v>0</v>
      </c>
      <c r="L39" s="269">
        <f>INDEX(L43:L54,'All Rev &amp; Projects'!$A$228)-L43</f>
        <v>0</v>
      </c>
      <c r="M39" s="269">
        <f>INDEX(M43:M54,'All Rev &amp; Projects'!$A$228)-M43</f>
        <v>0</v>
      </c>
      <c r="N39" s="269">
        <f>INDEX(N43:N54,'All Rev &amp; Projects'!$A$228)-N43</f>
        <v>0</v>
      </c>
      <c r="O39" s="269">
        <f>INDEX(O43:O54,'All Rev &amp; Projects'!$A$228)-O43</f>
        <v>0</v>
      </c>
      <c r="P39" s="269">
        <f>INDEX(P43:P54,'All Rev &amp; Projects'!$A$228)-P43</f>
        <v>5</v>
      </c>
    </row>
    <row r="40" spans="1:34">
      <c r="B40" s="273">
        <f>INDEX(B43:B54,'All Rev &amp; Projects'!$A$228)/(INDEX(B26:B37,'All Rev &amp; Projects'!$A$228)+INDEX(B43:B54,'All Rev &amp; Projects'!$A$228))</f>
        <v>0.73809523809523814</v>
      </c>
      <c r="C40" s="273">
        <f>INDEX(C43:C54,'All Rev &amp; Projects'!$A$228)/(INDEX(C26:C37,'All Rev &amp; Projects'!$A$228)+INDEX(C43:C54,'All Rev &amp; Projects'!$A$228))</f>
        <v>0.78048780487804881</v>
      </c>
      <c r="D40" s="273">
        <f>INDEX(D43:D54,'All Rev &amp; Projects'!$A$228)/(INDEX(D26:D37,'All Rev &amp; Projects'!$A$228)+INDEX(D43:D54,'All Rev &amp; Projects'!$A$228))</f>
        <v>0.74285714285714288</v>
      </c>
      <c r="E40" s="273">
        <f>INDEX(E43:E54,'All Rev &amp; Projects'!$A$228)/(INDEX(E26:E37,'All Rev &amp; Projects'!$A$228)+INDEX(E43:E54,'All Rev &amp; Projects'!$A$228))</f>
        <v>0.75</v>
      </c>
      <c r="F40" s="273">
        <f>INDEX(F43:F54,'All Rev &amp; Projects'!$A$228)/(INDEX(F26:F37,'All Rev &amp; Projects'!$A$228)+INDEX(F43:F54,'All Rev &amp; Projects'!$A$228))</f>
        <v>0.80487804878048785</v>
      </c>
      <c r="G40" s="273">
        <f>INDEX(G43:G54,'All Rev &amp; Projects'!$A$228)/(INDEX(G26:G37,'All Rev &amp; Projects'!$A$228)+INDEX(G43:G54,'All Rev &amp; Projects'!$A$228))</f>
        <v>0.87179487179487181</v>
      </c>
      <c r="H40" s="273">
        <f>INDEX(H43:H54,'All Rev &amp; Projects'!$A$228)/(INDEX(H26:H37,'All Rev &amp; Projects'!$A$228)+INDEX(H43:H54,'All Rev &amp; Projects'!$A$228))</f>
        <v>0.90697674418604646</v>
      </c>
      <c r="I40" s="273">
        <f>INDEX(I43:I54,'All Rev &amp; Projects'!$A$228)/(INDEX(I26:I37,'All Rev &amp; Projects'!$A$228)+INDEX(I43:I54,'All Rev &amp; Projects'!$A$228))</f>
        <v>0.91666666666666663</v>
      </c>
      <c r="J40" s="273">
        <f>INDEX(J43:J54,'All Rev &amp; Projects'!$A$228)/(INDEX(J26:J37,'All Rev &amp; Projects'!$A$228)+INDEX(J43:J54,'All Rev &amp; Projects'!$A$228))</f>
        <v>0.93103448275862066</v>
      </c>
      <c r="K40" s="273">
        <f>INDEX(K43:K54,'All Rev &amp; Projects'!$A$228)/(INDEX(K26:K37,'All Rev &amp; Projects'!$A$228)+INDEX(K43:K54,'All Rev &amp; Projects'!$A$228))</f>
        <v>0.94736842105263153</v>
      </c>
      <c r="L40" s="273">
        <f>INDEX(L43:L54,'All Rev &amp; Projects'!$A$228)/(INDEX(L26:L37,'All Rev &amp; Projects'!$A$228)+INDEX(L43:L54,'All Rev &amp; Projects'!$A$228))</f>
        <v>0.94736842105263153</v>
      </c>
      <c r="M40" s="273">
        <f>INDEX(M43:M54,'All Rev &amp; Projects'!$A$228)/(INDEX(M26:M37,'All Rev &amp; Projects'!$A$228)+INDEX(M43:M54,'All Rev &amp; Projects'!$A$228))</f>
        <v>0.94736842105263153</v>
      </c>
      <c r="N40" s="273">
        <f>INDEX(N43:N54,'All Rev &amp; Projects'!$A$228)/(INDEX(N26:N37,'All Rev &amp; Projects'!$A$228)+INDEX(N43:N54,'All Rev &amp; Projects'!$A$228))</f>
        <v>0.9642857142857143</v>
      </c>
      <c r="O40" s="273">
        <f>INDEX(O43:O54,'All Rev &amp; Projects'!$A$228)/(INDEX(O26:O37,'All Rev &amp; Projects'!$A$228)+INDEX(O43:O54,'All Rev &amp; Projects'!$A$228))</f>
        <v>0.9642857142857143</v>
      </c>
      <c r="P40" s="273">
        <f>INDEX(P43:P54,'All Rev &amp; Projects'!$A$228)/(INDEX(P26:P37,'All Rev &amp; Projects'!$A$228)+INDEX(P43:P54,'All Rev &amp; Projects'!$A$228))</f>
        <v>0.9642857142857143</v>
      </c>
    </row>
    <row r="41" spans="1:34" ht="18.75">
      <c r="A41" s="398" t="s">
        <v>873</v>
      </c>
      <c r="E41" t="s">
        <v>712</v>
      </c>
      <c r="R41" s="274">
        <f>R42-R43</f>
        <v>2.0191000000000088</v>
      </c>
      <c r="S41" s="274">
        <f t="shared" ref="S41:AF41" si="0">S42-S43</f>
        <v>0.53489999999999327</v>
      </c>
      <c r="T41" s="274">
        <f t="shared" si="0"/>
        <v>-1.0823000000000036</v>
      </c>
      <c r="U41" s="274">
        <f t="shared" si="0"/>
        <v>9.1999999999927695E-3</v>
      </c>
      <c r="V41" s="274">
        <f t="shared" si="0"/>
        <v>-3.1768000000000143</v>
      </c>
      <c r="W41" s="274">
        <f t="shared" si="0"/>
        <v>1.9599999999999795</v>
      </c>
      <c r="X41" s="274">
        <f t="shared" si="0"/>
        <v>1.9599999999999795</v>
      </c>
      <c r="Y41" s="274">
        <f t="shared" si="0"/>
        <v>1.9599999999999795</v>
      </c>
      <c r="Z41" s="274">
        <f t="shared" si="0"/>
        <v>0.96080000000000609</v>
      </c>
      <c r="AA41" s="274">
        <f t="shared" si="0"/>
        <v>0.96080000000000609</v>
      </c>
      <c r="AB41" s="274">
        <f t="shared" si="0"/>
        <v>74.658900000000017</v>
      </c>
      <c r="AC41" s="274">
        <f t="shared" si="0"/>
        <v>73.96429999999998</v>
      </c>
      <c r="AD41" s="274">
        <f t="shared" si="0"/>
        <v>73.212899999999991</v>
      </c>
      <c r="AE41" s="274">
        <f t="shared" si="0"/>
        <v>72.629700000000014</v>
      </c>
      <c r="AF41" s="274">
        <f t="shared" si="0"/>
        <v>76.9846</v>
      </c>
    </row>
    <row r="42" spans="1:34">
      <c r="A42" s="399" t="s">
        <v>511</v>
      </c>
      <c r="B42" s="400" t="s">
        <v>2</v>
      </c>
      <c r="C42" s="400" t="s">
        <v>3</v>
      </c>
      <c r="D42" s="400" t="s">
        <v>4</v>
      </c>
      <c r="E42" s="400" t="s">
        <v>5</v>
      </c>
      <c r="F42" s="400" t="s">
        <v>6</v>
      </c>
      <c r="G42" s="400" t="s">
        <v>7</v>
      </c>
      <c r="H42" s="400" t="s">
        <v>8</v>
      </c>
      <c r="I42" s="400" t="s">
        <v>9</v>
      </c>
      <c r="J42" s="400" t="s">
        <v>21</v>
      </c>
      <c r="K42" s="401" t="s">
        <v>35</v>
      </c>
      <c r="L42" s="401" t="s">
        <v>36</v>
      </c>
      <c r="M42" s="401" t="s">
        <v>37</v>
      </c>
      <c r="N42" s="401" t="s">
        <v>38</v>
      </c>
      <c r="O42" s="401" t="s">
        <v>39</v>
      </c>
      <c r="P42" s="401" t="s">
        <v>40</v>
      </c>
      <c r="R42" s="1035">
        <f>131.81+60.2091+25</f>
        <v>217.01910000000001</v>
      </c>
      <c r="S42" s="1035">
        <f>109.01+26.5249+50</f>
        <v>185.53489999999999</v>
      </c>
      <c r="T42" s="1037">
        <f>105.56+28.3577+25</f>
        <v>158.9177</v>
      </c>
      <c r="U42" s="1037">
        <f>95.96+19.0492+25</f>
        <v>140.00919999999999</v>
      </c>
      <c r="V42" s="1037">
        <f>88.46+8.3632+75</f>
        <v>171.82319999999999</v>
      </c>
      <c r="W42" s="1037">
        <f>71.96+0+100</f>
        <v>171.95999999999998</v>
      </c>
      <c r="X42" s="1037">
        <f>71.96+0+125</f>
        <v>196.95999999999998</v>
      </c>
      <c r="Y42" s="1037">
        <f>71.96+0+150</f>
        <v>221.95999999999998</v>
      </c>
      <c r="Z42" s="1037">
        <f>70.9608+0+200</f>
        <v>270.96080000000001</v>
      </c>
      <c r="AA42" s="1037">
        <f>70.9608+0+200</f>
        <v>270.96080000000001</v>
      </c>
      <c r="AB42" s="1037">
        <f>69.6589+0+275</f>
        <v>344.65890000000002</v>
      </c>
      <c r="AC42" s="1037">
        <f>68.9643+0+275</f>
        <v>343.96429999999998</v>
      </c>
      <c r="AD42" s="1037">
        <f>68.2129+0+275</f>
        <v>343.21289999999999</v>
      </c>
      <c r="AE42" s="1037">
        <f>67.6297+0+275</f>
        <v>342.62970000000001</v>
      </c>
      <c r="AF42" s="1038">
        <f>66.9846+0+275</f>
        <v>341.9846</v>
      </c>
    </row>
    <row r="43" spans="1:34">
      <c r="A43" s="402" t="s">
        <v>512</v>
      </c>
      <c r="B43" s="403">
        <v>155</v>
      </c>
      <c r="C43" s="403">
        <v>160</v>
      </c>
      <c r="D43" s="403">
        <v>130</v>
      </c>
      <c r="E43" s="403">
        <v>120</v>
      </c>
      <c r="F43" s="403">
        <v>165</v>
      </c>
      <c r="G43" s="403">
        <v>170</v>
      </c>
      <c r="H43" s="403">
        <v>195</v>
      </c>
      <c r="I43" s="403">
        <v>220</v>
      </c>
      <c r="J43" s="404">
        <v>270</v>
      </c>
      <c r="K43" s="405">
        <v>270</v>
      </c>
      <c r="L43">
        <v>270</v>
      </c>
      <c r="M43">
        <v>270</v>
      </c>
      <c r="N43">
        <v>270</v>
      </c>
      <c r="O43">
        <v>270</v>
      </c>
      <c r="P43">
        <v>265</v>
      </c>
      <c r="R43" s="269">
        <f>B43+B26</f>
        <v>215</v>
      </c>
      <c r="S43" s="269">
        <f t="shared" ref="S43:AF43" si="1">C43+C26</f>
        <v>185</v>
      </c>
      <c r="T43" s="269">
        <f t="shared" si="1"/>
        <v>160</v>
      </c>
      <c r="U43" s="269">
        <f t="shared" si="1"/>
        <v>140</v>
      </c>
      <c r="V43" s="269">
        <f t="shared" si="1"/>
        <v>175</v>
      </c>
      <c r="W43" s="269">
        <f t="shared" si="1"/>
        <v>170</v>
      </c>
      <c r="X43" s="269">
        <f t="shared" si="1"/>
        <v>195</v>
      </c>
      <c r="Y43" s="269">
        <f t="shared" si="1"/>
        <v>220</v>
      </c>
      <c r="Z43" s="269">
        <f t="shared" si="1"/>
        <v>270</v>
      </c>
      <c r="AA43" s="269">
        <f t="shared" si="1"/>
        <v>270</v>
      </c>
      <c r="AB43" s="269">
        <f t="shared" si="1"/>
        <v>270</v>
      </c>
      <c r="AC43" s="269">
        <f t="shared" si="1"/>
        <v>270</v>
      </c>
      <c r="AD43" s="269">
        <f t="shared" si="1"/>
        <v>270</v>
      </c>
      <c r="AE43" s="269">
        <f t="shared" si="1"/>
        <v>270</v>
      </c>
      <c r="AF43" s="269">
        <f t="shared" si="1"/>
        <v>265</v>
      </c>
      <c r="AG43" s="269"/>
      <c r="AH43" s="269"/>
    </row>
    <row r="44" spans="1:34">
      <c r="A44" s="406">
        <v>40</v>
      </c>
      <c r="B44" s="407">
        <v>155</v>
      </c>
      <c r="C44" s="407">
        <v>160</v>
      </c>
      <c r="D44" s="407">
        <v>130</v>
      </c>
      <c r="E44" s="407">
        <v>120</v>
      </c>
      <c r="F44" s="407">
        <v>165</v>
      </c>
      <c r="G44" s="407">
        <v>170</v>
      </c>
      <c r="H44" s="407">
        <v>195</v>
      </c>
      <c r="I44" s="407">
        <v>220</v>
      </c>
      <c r="J44" s="407">
        <v>270</v>
      </c>
      <c r="K44" s="408">
        <v>270</v>
      </c>
      <c r="L44">
        <v>270</v>
      </c>
      <c r="M44">
        <v>270</v>
      </c>
      <c r="N44">
        <v>270</v>
      </c>
      <c r="O44">
        <v>270</v>
      </c>
      <c r="P44">
        <v>270</v>
      </c>
    </row>
    <row r="45" spans="1:34">
      <c r="A45" s="406">
        <v>50</v>
      </c>
      <c r="B45" s="407">
        <v>155</v>
      </c>
      <c r="C45" s="407">
        <v>160</v>
      </c>
      <c r="D45" s="407">
        <v>130</v>
      </c>
      <c r="E45" s="407">
        <v>120</v>
      </c>
      <c r="F45" s="407">
        <v>165</v>
      </c>
      <c r="G45" s="407">
        <v>170</v>
      </c>
      <c r="H45" s="407">
        <v>195</v>
      </c>
      <c r="I45" s="407">
        <v>220</v>
      </c>
      <c r="J45" s="407">
        <v>270</v>
      </c>
      <c r="K45" s="408">
        <v>270</v>
      </c>
      <c r="L45">
        <v>270</v>
      </c>
      <c r="M45">
        <v>270</v>
      </c>
      <c r="N45">
        <v>270</v>
      </c>
      <c r="O45">
        <v>270</v>
      </c>
      <c r="P45">
        <v>270</v>
      </c>
    </row>
    <row r="46" spans="1:34">
      <c r="A46" s="406">
        <v>60</v>
      </c>
      <c r="B46" s="407">
        <v>155</v>
      </c>
      <c r="C46" s="407">
        <v>160</v>
      </c>
      <c r="D46" s="407">
        <v>130</v>
      </c>
      <c r="E46" s="407">
        <v>120</v>
      </c>
      <c r="F46" s="407">
        <v>165</v>
      </c>
      <c r="G46" s="407">
        <v>170</v>
      </c>
      <c r="H46" s="407">
        <v>195</v>
      </c>
      <c r="I46" s="407">
        <v>220</v>
      </c>
      <c r="J46" s="407">
        <v>270</v>
      </c>
      <c r="K46" s="408">
        <v>270</v>
      </c>
      <c r="L46">
        <v>270</v>
      </c>
      <c r="M46">
        <v>270</v>
      </c>
      <c r="N46">
        <v>270</v>
      </c>
      <c r="O46">
        <v>270</v>
      </c>
      <c r="P46">
        <v>270</v>
      </c>
    </row>
    <row r="47" spans="1:34">
      <c r="A47" s="406">
        <v>70</v>
      </c>
      <c r="B47" s="407">
        <v>155</v>
      </c>
      <c r="C47" s="407">
        <v>160</v>
      </c>
      <c r="D47" s="407">
        <v>130</v>
      </c>
      <c r="E47" s="407">
        <v>120</v>
      </c>
      <c r="F47" s="407">
        <v>165</v>
      </c>
      <c r="G47" s="407">
        <v>170</v>
      </c>
      <c r="H47" s="407">
        <v>195</v>
      </c>
      <c r="I47" s="407">
        <v>220</v>
      </c>
      <c r="J47" s="407">
        <v>270</v>
      </c>
      <c r="K47" s="408">
        <v>270</v>
      </c>
      <c r="L47">
        <v>270</v>
      </c>
      <c r="M47">
        <v>270</v>
      </c>
      <c r="N47">
        <v>270</v>
      </c>
      <c r="O47">
        <v>270</v>
      </c>
      <c r="P47">
        <v>270</v>
      </c>
    </row>
    <row r="48" spans="1:34">
      <c r="A48" s="406">
        <v>80</v>
      </c>
      <c r="B48" s="407">
        <v>155</v>
      </c>
      <c r="C48" s="407">
        <v>160</v>
      </c>
      <c r="D48" s="407">
        <v>130</v>
      </c>
      <c r="E48" s="407">
        <v>120</v>
      </c>
      <c r="F48" s="407">
        <v>165</v>
      </c>
      <c r="G48" s="407">
        <v>170</v>
      </c>
      <c r="H48" s="407">
        <v>195</v>
      </c>
      <c r="I48" s="407">
        <v>220</v>
      </c>
      <c r="J48" s="407">
        <v>270</v>
      </c>
      <c r="K48" s="408">
        <v>270</v>
      </c>
      <c r="L48">
        <v>270</v>
      </c>
      <c r="M48">
        <v>270</v>
      </c>
      <c r="N48">
        <v>270</v>
      </c>
      <c r="O48">
        <v>270</v>
      </c>
      <c r="P48">
        <v>270</v>
      </c>
    </row>
    <row r="49" spans="1:16">
      <c r="A49" s="406">
        <v>90</v>
      </c>
      <c r="B49" s="407">
        <v>155</v>
      </c>
      <c r="C49" s="407">
        <v>160</v>
      </c>
      <c r="D49" s="407">
        <v>130</v>
      </c>
      <c r="E49" s="407">
        <v>120</v>
      </c>
      <c r="F49" s="407">
        <v>165</v>
      </c>
      <c r="G49" s="407">
        <v>170</v>
      </c>
      <c r="H49" s="407">
        <v>195</v>
      </c>
      <c r="I49" s="407">
        <v>220</v>
      </c>
      <c r="J49" s="407">
        <v>270</v>
      </c>
      <c r="K49" s="408">
        <v>270</v>
      </c>
      <c r="L49">
        <v>270</v>
      </c>
      <c r="M49">
        <v>270</v>
      </c>
      <c r="N49">
        <v>270</v>
      </c>
      <c r="O49">
        <v>270</v>
      </c>
      <c r="P49">
        <v>270</v>
      </c>
    </row>
    <row r="50" spans="1:16">
      <c r="A50" s="406">
        <v>100</v>
      </c>
      <c r="B50" s="407">
        <v>155</v>
      </c>
      <c r="C50" s="407">
        <v>160</v>
      </c>
      <c r="D50" s="407">
        <v>130</v>
      </c>
      <c r="E50" s="407">
        <v>120</v>
      </c>
      <c r="F50" s="407">
        <v>165</v>
      </c>
      <c r="G50" s="407">
        <v>170</v>
      </c>
      <c r="H50" s="407">
        <v>195</v>
      </c>
      <c r="I50" s="407">
        <v>220</v>
      </c>
      <c r="J50" s="407">
        <v>270</v>
      </c>
      <c r="K50" s="408">
        <v>270</v>
      </c>
      <c r="L50">
        <v>270</v>
      </c>
      <c r="M50">
        <v>270</v>
      </c>
      <c r="N50">
        <v>270</v>
      </c>
      <c r="O50">
        <v>270</v>
      </c>
      <c r="P50">
        <v>270</v>
      </c>
    </row>
    <row r="51" spans="1:16">
      <c r="A51" s="406">
        <v>110</v>
      </c>
      <c r="B51" s="407">
        <v>155</v>
      </c>
      <c r="C51" s="407">
        <v>160</v>
      </c>
      <c r="D51" s="407">
        <v>130</v>
      </c>
      <c r="E51" s="407">
        <v>120</v>
      </c>
      <c r="F51" s="407">
        <v>165</v>
      </c>
      <c r="G51" s="407">
        <v>170</v>
      </c>
      <c r="H51" s="407">
        <v>195</v>
      </c>
      <c r="I51" s="407">
        <v>220</v>
      </c>
      <c r="J51" s="407">
        <v>270</v>
      </c>
      <c r="K51" s="408">
        <v>270</v>
      </c>
      <c r="L51">
        <v>270</v>
      </c>
      <c r="M51">
        <v>270</v>
      </c>
      <c r="N51">
        <v>270</v>
      </c>
      <c r="O51">
        <v>270</v>
      </c>
      <c r="P51">
        <v>270</v>
      </c>
    </row>
    <row r="52" spans="1:16">
      <c r="A52" s="406">
        <v>120</v>
      </c>
      <c r="B52" s="407">
        <v>155</v>
      </c>
      <c r="C52" s="407">
        <v>160</v>
      </c>
      <c r="D52" s="407">
        <v>130</v>
      </c>
      <c r="E52" s="407">
        <v>120</v>
      </c>
      <c r="F52" s="407">
        <v>165</v>
      </c>
      <c r="G52" s="407">
        <v>170</v>
      </c>
      <c r="H52" s="407">
        <v>195</v>
      </c>
      <c r="I52" s="407">
        <v>220</v>
      </c>
      <c r="J52" s="407">
        <v>270</v>
      </c>
      <c r="K52" s="408">
        <v>270</v>
      </c>
      <c r="L52">
        <v>270</v>
      </c>
      <c r="M52">
        <v>270</v>
      </c>
      <c r="N52">
        <v>270</v>
      </c>
      <c r="O52">
        <v>270</v>
      </c>
      <c r="P52">
        <v>270</v>
      </c>
    </row>
    <row r="53" spans="1:16">
      <c r="A53" s="406">
        <v>130</v>
      </c>
      <c r="B53" s="407">
        <v>155</v>
      </c>
      <c r="C53" s="407">
        <v>160</v>
      </c>
      <c r="D53" s="407">
        <v>130</v>
      </c>
      <c r="E53" s="407">
        <v>120</v>
      </c>
      <c r="F53" s="407">
        <v>165</v>
      </c>
      <c r="G53" s="407">
        <v>170</v>
      </c>
      <c r="H53" s="407">
        <v>195</v>
      </c>
      <c r="I53" s="407">
        <v>220</v>
      </c>
      <c r="J53" s="407">
        <v>270</v>
      </c>
      <c r="K53" s="408">
        <v>270</v>
      </c>
      <c r="L53">
        <v>270</v>
      </c>
      <c r="M53">
        <v>270</v>
      </c>
      <c r="N53">
        <v>270</v>
      </c>
      <c r="O53">
        <v>270</v>
      </c>
      <c r="P53">
        <v>270</v>
      </c>
    </row>
    <row r="54" spans="1:16">
      <c r="A54" s="412">
        <v>140</v>
      </c>
      <c r="B54" s="413">
        <v>155</v>
      </c>
      <c r="C54" s="413">
        <v>160</v>
      </c>
      <c r="D54" s="413">
        <v>130</v>
      </c>
      <c r="E54" s="413">
        <v>120</v>
      </c>
      <c r="F54" s="413">
        <v>165</v>
      </c>
      <c r="G54" s="413">
        <v>170</v>
      </c>
      <c r="H54" s="413">
        <v>195</v>
      </c>
      <c r="I54" s="413">
        <v>220</v>
      </c>
      <c r="J54" s="413">
        <v>265</v>
      </c>
      <c r="K54" s="414">
        <v>265</v>
      </c>
      <c r="L54">
        <v>265</v>
      </c>
      <c r="M54">
        <v>265</v>
      </c>
      <c r="N54">
        <v>265</v>
      </c>
      <c r="O54">
        <v>265</v>
      </c>
      <c r="P54">
        <v>265</v>
      </c>
    </row>
    <row r="55" spans="1:16">
      <c r="A55" s="407"/>
      <c r="B55" s="407"/>
      <c r="C55" s="407"/>
      <c r="D55" s="407"/>
      <c r="E55" s="407"/>
      <c r="F55" s="407"/>
      <c r="G55" s="407"/>
      <c r="H55" s="407"/>
      <c r="I55" s="407"/>
      <c r="J55" s="407"/>
      <c r="K55" s="407"/>
    </row>
    <row r="56" spans="1:16">
      <c r="A56" s="407"/>
      <c r="B56" s="407"/>
      <c r="C56" s="407"/>
      <c r="D56" s="407"/>
      <c r="E56" s="407"/>
      <c r="F56" s="407"/>
      <c r="G56" s="407"/>
      <c r="H56" s="407"/>
      <c r="I56" s="407"/>
      <c r="J56" s="407"/>
      <c r="K56" s="407"/>
    </row>
    <row r="57" spans="1:16">
      <c r="A57">
        <f>INDEX(A62:A73,'All Rev &amp; Projects'!$A$228)</f>
        <v>70</v>
      </c>
      <c r="B57" s="269">
        <f>INDEX(B62:B73,'All Rev &amp; Projects'!$A$228)-B62</f>
        <v>0</v>
      </c>
      <c r="C57" s="269">
        <f>INDEX(C62:C73,'All Rev &amp; Projects'!$A$228)-C62</f>
        <v>0</v>
      </c>
      <c r="D57" s="269">
        <f>INDEX(D62:D73,'All Rev &amp; Projects'!$A$228)-D62</f>
        <v>0</v>
      </c>
      <c r="E57" s="269">
        <f>INDEX(E62:E73,'All Rev &amp; Projects'!$A$228)-E62</f>
        <v>0</v>
      </c>
      <c r="F57" s="269">
        <f>INDEX(F62:F73,'All Rev &amp; Projects'!$A$228)-F62</f>
        <v>0</v>
      </c>
      <c r="G57" s="269">
        <f>INDEX(G62:G73,'All Rev &amp; Projects'!$A$228)-G62</f>
        <v>0</v>
      </c>
      <c r="H57" s="269">
        <f>INDEX(H62:H73,'All Rev &amp; Projects'!$A$228)-H62</f>
        <v>0</v>
      </c>
      <c r="I57" s="269">
        <f>INDEX(I62:I73,'All Rev &amp; Projects'!$A$228)-I62</f>
        <v>0</v>
      </c>
      <c r="J57" s="269">
        <f>INDEX(J62:J73,'All Rev &amp; Projects'!$A$228)-J62</f>
        <v>0</v>
      </c>
      <c r="K57" s="269">
        <f>INDEX(K62:K73,'All Rev &amp; Projects'!$A$228)-K62</f>
        <v>0</v>
      </c>
      <c r="L57" s="269">
        <f>INDEX(L62:L73,'All Rev &amp; Projects'!$A$228)-L62</f>
        <v>0</v>
      </c>
      <c r="M57" s="269">
        <f>INDEX(M62:M73,'All Rev &amp; Projects'!$A$228)-M62</f>
        <v>0</v>
      </c>
      <c r="N57" s="269">
        <f>INDEX(N62:N73,'All Rev &amp; Projects'!$A$228)-N62</f>
        <v>0</v>
      </c>
      <c r="O57" s="269">
        <f>INDEX(O62:O73,'All Rev &amp; Projects'!$A$228)-O62</f>
        <v>0</v>
      </c>
      <c r="P57" s="269">
        <f>INDEX(P62:P73,'All Rev &amp; Projects'!$A$228)-P62</f>
        <v>40</v>
      </c>
    </row>
    <row r="58" spans="1:16">
      <c r="B58" s="269"/>
      <c r="C58" s="269"/>
      <c r="D58" s="269"/>
      <c r="E58" s="269"/>
      <c r="F58" s="269"/>
      <c r="G58" s="269"/>
      <c r="H58" s="269"/>
      <c r="I58" s="269"/>
      <c r="J58" s="269"/>
      <c r="K58" s="269"/>
      <c r="L58" s="269"/>
      <c r="M58" s="269"/>
      <c r="N58" s="269"/>
      <c r="O58" s="269"/>
      <c r="P58" s="269"/>
    </row>
    <row r="59" spans="1:16">
      <c r="C59" t="s">
        <v>713</v>
      </c>
    </row>
    <row r="60" spans="1:16" ht="18.75">
      <c r="A60" s="398" t="s">
        <v>529</v>
      </c>
    </row>
    <row r="61" spans="1:16">
      <c r="A61" s="399" t="s">
        <v>511</v>
      </c>
      <c r="B61" s="400" t="s">
        <v>2</v>
      </c>
      <c r="C61" s="400" t="s">
        <v>3</v>
      </c>
      <c r="D61" s="400" t="s">
        <v>4</v>
      </c>
      <c r="E61" s="400" t="s">
        <v>5</v>
      </c>
      <c r="F61" s="400" t="s">
        <v>6</v>
      </c>
      <c r="G61" s="400" t="s">
        <v>7</v>
      </c>
      <c r="H61" s="400" t="s">
        <v>8</v>
      </c>
      <c r="I61" s="400" t="s">
        <v>9</v>
      </c>
      <c r="J61" s="400" t="s">
        <v>21</v>
      </c>
      <c r="K61" s="401" t="s">
        <v>35</v>
      </c>
      <c r="L61" s="401" t="s">
        <v>36</v>
      </c>
      <c r="M61" s="401" t="s">
        <v>37</v>
      </c>
      <c r="N61" s="401" t="s">
        <v>38</v>
      </c>
      <c r="O61" s="401" t="s">
        <v>39</v>
      </c>
      <c r="P61" s="401" t="s">
        <v>40</v>
      </c>
    </row>
    <row r="62" spans="1:16">
      <c r="A62" s="402" t="s">
        <v>512</v>
      </c>
      <c r="B62" s="403">
        <v>0</v>
      </c>
      <c r="C62" s="403">
        <v>0</v>
      </c>
      <c r="D62" s="403">
        <v>0</v>
      </c>
      <c r="E62" s="403">
        <v>0</v>
      </c>
      <c r="F62" s="403">
        <v>0</v>
      </c>
      <c r="G62" s="403">
        <v>0</v>
      </c>
      <c r="H62" s="403">
        <v>0</v>
      </c>
      <c r="I62" s="403">
        <v>0</v>
      </c>
      <c r="J62" s="404">
        <v>0</v>
      </c>
      <c r="K62" s="405">
        <v>0</v>
      </c>
      <c r="L62">
        <v>0</v>
      </c>
      <c r="M62">
        <v>0</v>
      </c>
      <c r="N62">
        <v>0</v>
      </c>
      <c r="O62">
        <v>0</v>
      </c>
      <c r="P62">
        <v>0</v>
      </c>
    </row>
    <row r="63" spans="1:16">
      <c r="A63" s="406">
        <v>40</v>
      </c>
      <c r="B63" s="407">
        <v>0</v>
      </c>
      <c r="C63" s="407">
        <v>160</v>
      </c>
      <c r="D63" s="407">
        <v>150</v>
      </c>
      <c r="E63" s="407">
        <v>140</v>
      </c>
      <c r="F63" s="407">
        <v>125</v>
      </c>
      <c r="G63" s="407">
        <v>110</v>
      </c>
      <c r="H63" s="407">
        <v>100</v>
      </c>
      <c r="I63" s="407">
        <v>90</v>
      </c>
      <c r="J63" s="407">
        <v>75</v>
      </c>
      <c r="K63" s="408">
        <v>65</v>
      </c>
      <c r="L63">
        <v>55</v>
      </c>
      <c r="M63">
        <v>45</v>
      </c>
      <c r="N63">
        <v>40</v>
      </c>
      <c r="O63">
        <v>35</v>
      </c>
      <c r="P63">
        <v>25</v>
      </c>
    </row>
    <row r="64" spans="1:16">
      <c r="A64" s="406">
        <v>50</v>
      </c>
      <c r="B64" s="407">
        <v>0</v>
      </c>
      <c r="C64" s="407">
        <v>25</v>
      </c>
      <c r="D64" s="407">
        <v>0</v>
      </c>
      <c r="E64" s="407">
        <v>35</v>
      </c>
      <c r="F64" s="407">
        <v>50</v>
      </c>
      <c r="G64" s="407">
        <v>55</v>
      </c>
      <c r="H64" s="407">
        <v>125</v>
      </c>
      <c r="I64" s="407">
        <v>125</v>
      </c>
      <c r="J64" s="407">
        <v>115</v>
      </c>
      <c r="K64" s="408">
        <v>100</v>
      </c>
      <c r="L64">
        <v>85</v>
      </c>
      <c r="M64">
        <v>75</v>
      </c>
      <c r="N64">
        <v>65</v>
      </c>
      <c r="O64">
        <v>55</v>
      </c>
      <c r="P64">
        <v>45</v>
      </c>
    </row>
    <row r="65" spans="1:16">
      <c r="A65" s="406">
        <v>60</v>
      </c>
      <c r="B65" s="407">
        <v>0</v>
      </c>
      <c r="C65" s="407">
        <v>0</v>
      </c>
      <c r="D65" s="407">
        <v>0</v>
      </c>
      <c r="E65" s="407">
        <v>0</v>
      </c>
      <c r="F65" s="407">
        <v>0</v>
      </c>
      <c r="G65" s="407">
        <v>0</v>
      </c>
      <c r="H65" s="407">
        <v>0</v>
      </c>
      <c r="I65" s="407">
        <v>0</v>
      </c>
      <c r="J65" s="407">
        <v>0</v>
      </c>
      <c r="K65" s="408">
        <v>5</v>
      </c>
      <c r="L65">
        <v>25</v>
      </c>
      <c r="M65">
        <v>70</v>
      </c>
      <c r="N65">
        <v>65</v>
      </c>
      <c r="O65">
        <v>65</v>
      </c>
      <c r="P65">
        <v>65</v>
      </c>
    </row>
    <row r="66" spans="1:16">
      <c r="A66" s="406">
        <v>70</v>
      </c>
      <c r="B66" s="407">
        <v>0</v>
      </c>
      <c r="C66" s="407">
        <v>0</v>
      </c>
      <c r="D66" s="407">
        <v>0</v>
      </c>
      <c r="E66" s="407">
        <v>0</v>
      </c>
      <c r="F66" s="407">
        <v>0</v>
      </c>
      <c r="G66" s="407">
        <v>0</v>
      </c>
      <c r="H66" s="407">
        <v>0</v>
      </c>
      <c r="I66" s="407">
        <v>0</v>
      </c>
      <c r="J66" s="407">
        <v>0</v>
      </c>
      <c r="K66" s="408">
        <v>0</v>
      </c>
      <c r="L66">
        <v>0</v>
      </c>
      <c r="M66">
        <v>0</v>
      </c>
      <c r="N66">
        <v>0</v>
      </c>
      <c r="O66">
        <v>0</v>
      </c>
      <c r="P66">
        <v>40</v>
      </c>
    </row>
    <row r="67" spans="1:16">
      <c r="A67" s="406">
        <v>80</v>
      </c>
      <c r="B67" s="407">
        <v>0</v>
      </c>
      <c r="C67" s="407">
        <v>0</v>
      </c>
      <c r="D67" s="407">
        <v>0</v>
      </c>
      <c r="E67" s="407">
        <v>0</v>
      </c>
      <c r="F67" s="407">
        <v>0</v>
      </c>
      <c r="G67" s="407">
        <v>0</v>
      </c>
      <c r="H67" s="407">
        <v>0</v>
      </c>
      <c r="I67" s="407">
        <v>0</v>
      </c>
      <c r="J67" s="407">
        <v>0</v>
      </c>
      <c r="K67" s="408">
        <v>0</v>
      </c>
      <c r="L67">
        <v>0</v>
      </c>
      <c r="M67">
        <v>0</v>
      </c>
      <c r="N67">
        <v>0</v>
      </c>
      <c r="O67">
        <v>0</v>
      </c>
      <c r="P67">
        <v>0</v>
      </c>
    </row>
    <row r="68" spans="1:16">
      <c r="A68" s="406">
        <v>90</v>
      </c>
      <c r="B68" s="407">
        <v>0</v>
      </c>
      <c r="C68" s="407">
        <v>0</v>
      </c>
      <c r="D68" s="407">
        <v>0</v>
      </c>
      <c r="E68" s="407">
        <v>0</v>
      </c>
      <c r="F68" s="407">
        <v>0</v>
      </c>
      <c r="G68" s="407">
        <v>0</v>
      </c>
      <c r="H68" s="407">
        <v>0</v>
      </c>
      <c r="I68" s="407">
        <v>0</v>
      </c>
      <c r="J68" s="407">
        <v>0</v>
      </c>
      <c r="K68" s="408">
        <v>0</v>
      </c>
      <c r="L68">
        <v>0</v>
      </c>
      <c r="M68">
        <v>0</v>
      </c>
      <c r="N68">
        <v>0</v>
      </c>
      <c r="O68">
        <v>0</v>
      </c>
      <c r="P68">
        <v>0</v>
      </c>
    </row>
    <row r="69" spans="1:16">
      <c r="A69" s="406">
        <v>100</v>
      </c>
      <c r="B69" s="407">
        <v>0</v>
      </c>
      <c r="C69" s="407">
        <v>0</v>
      </c>
      <c r="D69" s="407">
        <v>0</v>
      </c>
      <c r="E69" s="407">
        <v>0</v>
      </c>
      <c r="F69" s="407">
        <v>0</v>
      </c>
      <c r="G69" s="407">
        <v>0</v>
      </c>
      <c r="H69" s="407">
        <v>0</v>
      </c>
      <c r="I69" s="407">
        <v>0</v>
      </c>
      <c r="J69" s="407">
        <v>0</v>
      </c>
      <c r="K69" s="408">
        <v>0</v>
      </c>
      <c r="L69">
        <v>0</v>
      </c>
      <c r="M69">
        <v>0</v>
      </c>
      <c r="N69">
        <v>0</v>
      </c>
      <c r="O69">
        <v>0</v>
      </c>
      <c r="P69">
        <v>0</v>
      </c>
    </row>
    <row r="70" spans="1:16">
      <c r="A70" s="406">
        <v>110</v>
      </c>
      <c r="B70" s="407">
        <v>0</v>
      </c>
      <c r="C70" s="407">
        <v>0</v>
      </c>
      <c r="D70" s="407">
        <v>0</v>
      </c>
      <c r="E70" s="407">
        <v>0</v>
      </c>
      <c r="F70" s="407">
        <v>0</v>
      </c>
      <c r="G70" s="407">
        <v>0</v>
      </c>
      <c r="H70" s="407">
        <v>0</v>
      </c>
      <c r="I70" s="407">
        <v>0</v>
      </c>
      <c r="J70" s="407">
        <v>0</v>
      </c>
      <c r="K70" s="408">
        <v>0</v>
      </c>
      <c r="L70">
        <v>0</v>
      </c>
      <c r="M70">
        <v>0</v>
      </c>
      <c r="N70">
        <v>0</v>
      </c>
      <c r="O70">
        <v>0</v>
      </c>
      <c r="P70">
        <v>0</v>
      </c>
    </row>
    <row r="71" spans="1:16">
      <c r="A71" s="406">
        <v>120</v>
      </c>
      <c r="B71" s="407">
        <v>0</v>
      </c>
      <c r="C71" s="407">
        <v>0</v>
      </c>
      <c r="D71" s="407">
        <v>0</v>
      </c>
      <c r="E71" s="407">
        <v>0</v>
      </c>
      <c r="F71" s="407">
        <v>0</v>
      </c>
      <c r="G71" s="407">
        <v>0</v>
      </c>
      <c r="H71" s="407">
        <v>0</v>
      </c>
      <c r="I71" s="407">
        <v>0</v>
      </c>
      <c r="J71" s="407">
        <v>0</v>
      </c>
      <c r="K71" s="408">
        <v>0</v>
      </c>
      <c r="L71">
        <v>0</v>
      </c>
      <c r="M71">
        <v>0</v>
      </c>
      <c r="N71">
        <v>0</v>
      </c>
      <c r="O71">
        <v>0</v>
      </c>
      <c r="P71">
        <v>0</v>
      </c>
    </row>
    <row r="72" spans="1:16">
      <c r="A72" s="406">
        <v>130</v>
      </c>
      <c r="B72" s="407">
        <v>0</v>
      </c>
      <c r="C72" s="407">
        <v>0</v>
      </c>
      <c r="D72" s="407">
        <v>0</v>
      </c>
      <c r="E72" s="407">
        <v>0</v>
      </c>
      <c r="F72" s="407">
        <v>0</v>
      </c>
      <c r="G72" s="407">
        <v>0</v>
      </c>
      <c r="H72" s="407">
        <v>0</v>
      </c>
      <c r="I72" s="407">
        <v>0</v>
      </c>
      <c r="J72" s="407">
        <v>0</v>
      </c>
      <c r="K72" s="408">
        <v>0</v>
      </c>
      <c r="L72">
        <v>0</v>
      </c>
      <c r="M72">
        <v>0</v>
      </c>
      <c r="N72">
        <v>0</v>
      </c>
      <c r="O72">
        <v>0</v>
      </c>
      <c r="P72">
        <v>0</v>
      </c>
    </row>
    <row r="73" spans="1:16">
      <c r="A73" s="412">
        <v>140</v>
      </c>
      <c r="B73" s="413">
        <v>0</v>
      </c>
      <c r="C73" s="413">
        <v>0</v>
      </c>
      <c r="D73" s="413">
        <v>0</v>
      </c>
      <c r="E73" s="413">
        <v>0</v>
      </c>
      <c r="F73" s="413">
        <v>0</v>
      </c>
      <c r="G73" s="413">
        <v>0</v>
      </c>
      <c r="H73" s="413">
        <v>0</v>
      </c>
      <c r="I73" s="413">
        <v>0</v>
      </c>
      <c r="J73" s="413">
        <v>0</v>
      </c>
      <c r="K73" s="414">
        <v>0</v>
      </c>
      <c r="L73">
        <v>0</v>
      </c>
      <c r="M73">
        <v>0</v>
      </c>
      <c r="N73">
        <v>0</v>
      </c>
      <c r="O73">
        <v>0</v>
      </c>
      <c r="P73">
        <v>0</v>
      </c>
    </row>
    <row r="74" spans="1:16">
      <c r="A74" s="407"/>
      <c r="B74" s="407"/>
      <c r="C74" s="407"/>
      <c r="D74" s="407"/>
      <c r="E74" s="407"/>
      <c r="F74" s="407"/>
      <c r="G74" s="407"/>
      <c r="H74" s="407"/>
      <c r="I74" s="407"/>
      <c r="J74" s="407"/>
      <c r="K74" s="407"/>
    </row>
    <row r="75" spans="1:16">
      <c r="A75">
        <f>INDEX(A79:A90,'All Rev &amp; Projects'!$A$228)</f>
        <v>70</v>
      </c>
      <c r="B75" s="269">
        <f>INDEX(B79:B90,'All Rev &amp; Projects'!$A$228)-B79</f>
        <v>180</v>
      </c>
      <c r="C75" s="269">
        <f>INDEX(C79:C90,'All Rev &amp; Projects'!$A$228)-C79</f>
        <v>-455</v>
      </c>
      <c r="D75" s="269">
        <f>INDEX(D79:D90,'All Rev &amp; Projects'!$A$228)-D79</f>
        <v>-490</v>
      </c>
      <c r="E75" s="269">
        <f>INDEX(E79:E90,'All Rev &amp; Projects'!$A$228)-E79</f>
        <v>-355</v>
      </c>
      <c r="F75" s="269">
        <f>INDEX(F79:F90,'All Rev &amp; Projects'!$A$228)-F79</f>
        <v>-215</v>
      </c>
      <c r="G75" s="269">
        <f>INDEX(G79:G90,'All Rev &amp; Projects'!$A$228)-G79</f>
        <v>-235</v>
      </c>
      <c r="H75" s="269">
        <f>INDEX(H79:H90,'All Rev &amp; Projects'!$A$228)-H79</f>
        <v>-265</v>
      </c>
      <c r="I75" s="269">
        <f>INDEX(I79:I90,'All Rev &amp; Projects'!$A$228)-I79</f>
        <v>-265</v>
      </c>
      <c r="J75" s="269">
        <f>INDEX(J79:J90,'All Rev &amp; Projects'!$A$228)-J79</f>
        <v>-275</v>
      </c>
      <c r="K75" s="269">
        <f>INDEX(K79:K90,'All Rev &amp; Projects'!$A$228)-K79</f>
        <v>-215</v>
      </c>
      <c r="L75" s="269">
        <f>INDEX(L79:L90,'All Rev &amp; Projects'!$A$228)-L79</f>
        <v>-250</v>
      </c>
      <c r="M75" s="269">
        <f>INDEX(M79:M90,'All Rev &amp; Projects'!$A$228)-M79</f>
        <v>-245</v>
      </c>
      <c r="N75" s="269">
        <f>INDEX(N79:N90,'All Rev &amp; Projects'!$A$228)-N79</f>
        <v>-240</v>
      </c>
      <c r="O75" s="269">
        <f>INDEX(O79:O90,'All Rev &amp; Projects'!$A$228)-O79</f>
        <v>-235</v>
      </c>
      <c r="P75" s="269">
        <f>INDEX(P79:P90,'All Rev &amp; Projects'!$A$228)-P79</f>
        <v>-220</v>
      </c>
    </row>
    <row r="77" spans="1:16" ht="18.75">
      <c r="A77" s="398" t="s">
        <v>530</v>
      </c>
      <c r="D77" t="s">
        <v>714</v>
      </c>
    </row>
    <row r="78" spans="1:16">
      <c r="A78" s="399" t="s">
        <v>511</v>
      </c>
      <c r="B78" s="400" t="s">
        <v>2</v>
      </c>
      <c r="C78" s="400" t="s">
        <v>3</v>
      </c>
      <c r="D78" s="400" t="s">
        <v>4</v>
      </c>
      <c r="E78" s="400" t="s">
        <v>5</v>
      </c>
      <c r="F78" s="400" t="s">
        <v>6</v>
      </c>
      <c r="G78" s="400" t="s">
        <v>7</v>
      </c>
      <c r="H78" s="400" t="s">
        <v>8</v>
      </c>
      <c r="I78" s="400" t="s">
        <v>9</v>
      </c>
      <c r="J78" s="400" t="s">
        <v>21</v>
      </c>
      <c r="K78" s="401" t="s">
        <v>35</v>
      </c>
      <c r="L78" s="401" t="s">
        <v>36</v>
      </c>
      <c r="M78" s="401" t="s">
        <v>37</v>
      </c>
      <c r="N78" s="401" t="s">
        <v>38</v>
      </c>
      <c r="O78" s="401" t="s">
        <v>39</v>
      </c>
      <c r="P78" s="401" t="s">
        <v>40</v>
      </c>
    </row>
    <row r="79" spans="1:16">
      <c r="A79" s="402" t="s">
        <v>512</v>
      </c>
      <c r="B79" s="403">
        <v>515</v>
      </c>
      <c r="C79" s="403">
        <v>1260</v>
      </c>
      <c r="D79" s="403">
        <v>1210</v>
      </c>
      <c r="E79" s="403">
        <v>1000</v>
      </c>
      <c r="F79" s="403">
        <v>820</v>
      </c>
      <c r="G79" s="403">
        <v>645</v>
      </c>
      <c r="H79" s="403">
        <v>590</v>
      </c>
      <c r="I79" s="403">
        <v>545</v>
      </c>
      <c r="J79" s="404">
        <v>485</v>
      </c>
      <c r="K79" s="405">
        <v>375</v>
      </c>
      <c r="L79">
        <v>340</v>
      </c>
      <c r="M79">
        <v>305</v>
      </c>
      <c r="N79">
        <v>280</v>
      </c>
      <c r="O79">
        <v>255</v>
      </c>
      <c r="P79">
        <v>235</v>
      </c>
    </row>
    <row r="80" spans="1:16">
      <c r="A80" s="406">
        <v>40</v>
      </c>
      <c r="B80" s="407">
        <v>0</v>
      </c>
      <c r="C80" s="407">
        <v>15</v>
      </c>
      <c r="D80" s="407">
        <v>15</v>
      </c>
      <c r="E80" s="407">
        <v>15</v>
      </c>
      <c r="F80" s="407">
        <v>20</v>
      </c>
      <c r="G80" s="407">
        <v>25</v>
      </c>
      <c r="H80" s="407">
        <v>20</v>
      </c>
      <c r="I80" s="407">
        <v>25</v>
      </c>
      <c r="J80" s="407">
        <v>20</v>
      </c>
      <c r="K80" s="408">
        <v>20</v>
      </c>
      <c r="L80">
        <v>15</v>
      </c>
      <c r="M80">
        <v>15</v>
      </c>
      <c r="N80">
        <v>10</v>
      </c>
      <c r="O80">
        <v>10</v>
      </c>
      <c r="P80">
        <v>10</v>
      </c>
    </row>
    <row r="81" spans="1:16">
      <c r="A81" s="406">
        <v>50</v>
      </c>
      <c r="B81" s="407">
        <v>5</v>
      </c>
      <c r="C81" s="407">
        <v>20</v>
      </c>
      <c r="D81" s="407">
        <v>30</v>
      </c>
      <c r="E81" s="407">
        <v>20</v>
      </c>
      <c r="F81" s="407">
        <v>35</v>
      </c>
      <c r="G81" s="407">
        <v>35</v>
      </c>
      <c r="H81" s="407">
        <v>30</v>
      </c>
      <c r="I81" s="407">
        <v>25</v>
      </c>
      <c r="J81" s="407">
        <v>25</v>
      </c>
      <c r="K81" s="408">
        <v>20</v>
      </c>
      <c r="L81">
        <v>20</v>
      </c>
      <c r="M81">
        <v>15</v>
      </c>
      <c r="N81">
        <v>15</v>
      </c>
      <c r="O81">
        <v>10</v>
      </c>
      <c r="P81">
        <v>10</v>
      </c>
    </row>
    <row r="82" spans="1:16">
      <c r="A82" s="406">
        <v>60</v>
      </c>
      <c r="B82" s="407">
        <v>245</v>
      </c>
      <c r="C82" s="407">
        <v>320</v>
      </c>
      <c r="D82" s="407">
        <v>265</v>
      </c>
      <c r="E82" s="407">
        <v>225</v>
      </c>
      <c r="F82" s="407">
        <v>215</v>
      </c>
      <c r="G82" s="407">
        <v>90</v>
      </c>
      <c r="H82" s="407">
        <v>45</v>
      </c>
      <c r="I82" s="407">
        <v>45</v>
      </c>
      <c r="J82" s="407">
        <v>40</v>
      </c>
      <c r="K82" s="408">
        <v>35</v>
      </c>
      <c r="L82">
        <v>25</v>
      </c>
      <c r="M82">
        <v>20</v>
      </c>
      <c r="N82">
        <v>15</v>
      </c>
      <c r="O82">
        <v>15</v>
      </c>
      <c r="P82">
        <v>10</v>
      </c>
    </row>
    <row r="83" spans="1:16">
      <c r="A83" s="406">
        <v>70</v>
      </c>
      <c r="B83" s="407">
        <v>695</v>
      </c>
      <c r="C83" s="407">
        <v>805</v>
      </c>
      <c r="D83" s="407">
        <v>720</v>
      </c>
      <c r="E83" s="407">
        <v>645</v>
      </c>
      <c r="F83" s="407">
        <v>605</v>
      </c>
      <c r="G83" s="407">
        <v>410</v>
      </c>
      <c r="H83" s="407">
        <v>325</v>
      </c>
      <c r="I83" s="407">
        <v>280</v>
      </c>
      <c r="J83" s="407">
        <v>210</v>
      </c>
      <c r="K83" s="408">
        <v>160</v>
      </c>
      <c r="L83">
        <v>90</v>
      </c>
      <c r="M83">
        <v>60</v>
      </c>
      <c r="N83">
        <v>40</v>
      </c>
      <c r="O83">
        <v>20</v>
      </c>
      <c r="P83">
        <v>15</v>
      </c>
    </row>
    <row r="84" spans="1:16">
      <c r="A84" s="406">
        <v>80</v>
      </c>
      <c r="B84" s="407">
        <v>1155</v>
      </c>
      <c r="C84" s="407">
        <v>1235</v>
      </c>
      <c r="D84" s="407">
        <v>1110</v>
      </c>
      <c r="E84" s="407">
        <v>1020</v>
      </c>
      <c r="F84" s="407">
        <v>950</v>
      </c>
      <c r="G84" s="407">
        <v>765</v>
      </c>
      <c r="H84" s="407">
        <v>650</v>
      </c>
      <c r="I84" s="407">
        <v>585</v>
      </c>
      <c r="J84" s="407">
        <v>495</v>
      </c>
      <c r="K84" s="408">
        <v>415</v>
      </c>
      <c r="L84">
        <v>310</v>
      </c>
      <c r="M84">
        <v>220</v>
      </c>
      <c r="N84">
        <v>155</v>
      </c>
      <c r="O84">
        <v>80</v>
      </c>
      <c r="P84">
        <v>50</v>
      </c>
    </row>
    <row r="85" spans="1:16">
      <c r="A85" s="406">
        <v>90</v>
      </c>
      <c r="B85" s="407">
        <v>1095</v>
      </c>
      <c r="C85" s="407">
        <v>1115</v>
      </c>
      <c r="D85" s="407">
        <v>1120</v>
      </c>
      <c r="E85" s="407">
        <v>1125</v>
      </c>
      <c r="F85" s="407">
        <v>1045</v>
      </c>
      <c r="G85" s="407">
        <v>960</v>
      </c>
      <c r="H85" s="407">
        <v>885</v>
      </c>
      <c r="I85" s="407">
        <v>825</v>
      </c>
      <c r="J85" s="407">
        <v>745</v>
      </c>
      <c r="K85" s="408">
        <v>630</v>
      </c>
      <c r="L85">
        <v>520</v>
      </c>
      <c r="M85">
        <v>425</v>
      </c>
      <c r="N85">
        <v>345</v>
      </c>
      <c r="O85">
        <v>250</v>
      </c>
      <c r="P85">
        <v>175</v>
      </c>
    </row>
    <row r="86" spans="1:16">
      <c r="A86" s="406">
        <v>100</v>
      </c>
      <c r="B86" s="407">
        <v>955</v>
      </c>
      <c r="C86" s="407">
        <v>970</v>
      </c>
      <c r="D86" s="407">
        <v>975</v>
      </c>
      <c r="E86" s="407">
        <v>1000</v>
      </c>
      <c r="F86" s="407">
        <v>940</v>
      </c>
      <c r="G86" s="407">
        <v>860</v>
      </c>
      <c r="H86" s="407">
        <v>795</v>
      </c>
      <c r="I86" s="407">
        <v>740</v>
      </c>
      <c r="J86" s="407">
        <v>685</v>
      </c>
      <c r="K86" s="408">
        <v>615</v>
      </c>
      <c r="L86">
        <v>555</v>
      </c>
      <c r="M86">
        <v>500</v>
      </c>
      <c r="N86">
        <v>480</v>
      </c>
      <c r="O86">
        <v>405</v>
      </c>
      <c r="P86">
        <v>330</v>
      </c>
    </row>
    <row r="87" spans="1:16">
      <c r="A87" s="406">
        <v>110</v>
      </c>
      <c r="B87" s="407">
        <v>805</v>
      </c>
      <c r="C87" s="407">
        <v>830</v>
      </c>
      <c r="D87" s="407">
        <v>835</v>
      </c>
      <c r="E87" s="407">
        <v>865</v>
      </c>
      <c r="F87" s="407">
        <v>820</v>
      </c>
      <c r="G87" s="407">
        <v>760</v>
      </c>
      <c r="H87" s="407">
        <v>695</v>
      </c>
      <c r="I87" s="407">
        <v>645</v>
      </c>
      <c r="J87" s="407">
        <v>595</v>
      </c>
      <c r="K87" s="408">
        <v>540</v>
      </c>
      <c r="L87">
        <v>485</v>
      </c>
      <c r="M87">
        <v>445</v>
      </c>
      <c r="N87">
        <v>450</v>
      </c>
      <c r="O87">
        <v>420</v>
      </c>
      <c r="P87">
        <v>385</v>
      </c>
    </row>
    <row r="88" spans="1:16">
      <c r="A88" s="406">
        <v>120</v>
      </c>
      <c r="B88" s="407">
        <v>660</v>
      </c>
      <c r="C88" s="407">
        <v>690</v>
      </c>
      <c r="D88" s="407">
        <v>755</v>
      </c>
      <c r="E88" s="407">
        <v>730</v>
      </c>
      <c r="F88" s="407">
        <v>700</v>
      </c>
      <c r="G88" s="407">
        <v>645</v>
      </c>
      <c r="H88" s="407">
        <v>590</v>
      </c>
      <c r="I88" s="407">
        <v>545</v>
      </c>
      <c r="J88" s="407">
        <v>505</v>
      </c>
      <c r="K88" s="408">
        <v>460</v>
      </c>
      <c r="L88">
        <v>415</v>
      </c>
      <c r="M88">
        <v>375</v>
      </c>
      <c r="N88">
        <v>390</v>
      </c>
      <c r="O88">
        <v>370</v>
      </c>
      <c r="P88">
        <v>340</v>
      </c>
    </row>
    <row r="89" spans="1:16">
      <c r="A89" s="406">
        <v>130</v>
      </c>
      <c r="B89" s="407">
        <v>510</v>
      </c>
      <c r="C89" s="407">
        <v>580</v>
      </c>
      <c r="D89" s="407">
        <v>615</v>
      </c>
      <c r="E89" s="407">
        <v>605</v>
      </c>
      <c r="F89" s="407">
        <v>570</v>
      </c>
      <c r="G89" s="407">
        <v>525</v>
      </c>
      <c r="H89" s="407">
        <v>485</v>
      </c>
      <c r="I89" s="407">
        <v>445</v>
      </c>
      <c r="J89" s="407">
        <v>415</v>
      </c>
      <c r="K89" s="408">
        <v>375</v>
      </c>
      <c r="L89">
        <v>340</v>
      </c>
      <c r="M89">
        <v>310</v>
      </c>
      <c r="N89">
        <v>325</v>
      </c>
      <c r="O89">
        <v>315</v>
      </c>
      <c r="P89">
        <v>285</v>
      </c>
    </row>
    <row r="90" spans="1:16">
      <c r="A90" s="412">
        <v>140</v>
      </c>
      <c r="B90" s="413">
        <v>360</v>
      </c>
      <c r="C90" s="413">
        <v>430</v>
      </c>
      <c r="D90" s="413">
        <v>505</v>
      </c>
      <c r="E90" s="413">
        <v>475</v>
      </c>
      <c r="F90" s="413">
        <v>445</v>
      </c>
      <c r="G90" s="413">
        <v>410</v>
      </c>
      <c r="H90" s="413">
        <v>375</v>
      </c>
      <c r="I90" s="413">
        <v>345</v>
      </c>
      <c r="J90" s="413">
        <v>325</v>
      </c>
      <c r="K90" s="414">
        <v>295</v>
      </c>
      <c r="L90">
        <v>265</v>
      </c>
      <c r="M90">
        <v>240</v>
      </c>
      <c r="N90">
        <v>265</v>
      </c>
      <c r="O90">
        <v>255</v>
      </c>
      <c r="P90">
        <v>235</v>
      </c>
    </row>
    <row r="91" spans="1:16">
      <c r="A91" s="407"/>
      <c r="B91" s="407"/>
      <c r="C91" s="407"/>
      <c r="D91" s="407"/>
      <c r="E91" s="407"/>
      <c r="F91" s="407"/>
      <c r="G91" s="407"/>
      <c r="H91" s="407"/>
      <c r="I91" s="407"/>
      <c r="J91" s="407"/>
      <c r="K91" s="407"/>
    </row>
    <row r="92" spans="1:16">
      <c r="A92">
        <f>INDEX(A96:A107,'All Rev &amp; Projects'!$A$228)</f>
        <v>70</v>
      </c>
      <c r="B92" s="269">
        <f>INDEX(B96:B107,'All Rev &amp; Projects'!$A$228)-B96</f>
        <v>0</v>
      </c>
      <c r="C92" s="269">
        <f>INDEX(C96:C107,'All Rev &amp; Projects'!$A$228)-C96</f>
        <v>-5</v>
      </c>
      <c r="D92" s="269">
        <f>INDEX(D96:D107,'All Rev &amp; Projects'!$A$228)-D96</f>
        <v>-5</v>
      </c>
      <c r="E92" s="269">
        <f>INDEX(E96:E107,'All Rev &amp; Projects'!$A$228)-E96</f>
        <v>0</v>
      </c>
      <c r="F92" s="269">
        <f>INDEX(F96:F107,'All Rev &amp; Projects'!$A$228)-F96</f>
        <v>-15</v>
      </c>
      <c r="G92" s="269">
        <f>INDEX(G96:G107,'All Rev &amp; Projects'!$A$228)-G96</f>
        <v>-15</v>
      </c>
      <c r="H92" s="269">
        <f>INDEX(H96:H107,'All Rev &amp; Projects'!$A$228)-H96</f>
        <v>-15</v>
      </c>
      <c r="I92" s="269">
        <f>INDEX(I96:I107,'All Rev &amp; Projects'!$A$228)-I96</f>
        <v>-15</v>
      </c>
      <c r="J92" s="269">
        <f>INDEX(J96:J107,'All Rev &amp; Projects'!$A$228)-J96</f>
        <v>-10</v>
      </c>
      <c r="K92" s="269">
        <f>INDEX(K96:K107,'All Rev &amp; Projects'!$A$228)-K96</f>
        <v>0</v>
      </c>
      <c r="L92" s="269">
        <f>INDEX(L96:L107,'All Rev &amp; Projects'!$A$228)-L96</f>
        <v>0</v>
      </c>
      <c r="M92" s="269">
        <f>INDEX(M96:M107,'All Rev &amp; Projects'!$A$228)-M96</f>
        <v>0</v>
      </c>
      <c r="N92" s="269">
        <f>INDEX(N96:N107,'All Rev &amp; Projects'!$A$228)-N96</f>
        <v>0</v>
      </c>
      <c r="O92" s="269">
        <f>INDEX(O96:O107,'All Rev &amp; Projects'!$A$228)-O96</f>
        <v>0</v>
      </c>
      <c r="P92" s="269">
        <f>INDEX(P96:P107,'All Rev &amp; Projects'!$A$228)-P96</f>
        <v>0</v>
      </c>
    </row>
    <row r="93" spans="1:16">
      <c r="D93" t="s">
        <v>715</v>
      </c>
    </row>
    <row r="94" spans="1:16" ht="18.75">
      <c r="A94" s="398" t="s">
        <v>531</v>
      </c>
    </row>
    <row r="95" spans="1:16">
      <c r="A95" s="399" t="s">
        <v>511</v>
      </c>
      <c r="B95" s="400" t="s">
        <v>2</v>
      </c>
      <c r="C95" s="400" t="s">
        <v>3</v>
      </c>
      <c r="D95" s="400" t="s">
        <v>4</v>
      </c>
      <c r="E95" s="400" t="s">
        <v>5</v>
      </c>
      <c r="F95" s="400" t="s">
        <v>6</v>
      </c>
      <c r="G95" s="400" t="s">
        <v>7</v>
      </c>
      <c r="H95" s="400" t="s">
        <v>8</v>
      </c>
      <c r="I95" s="400" t="s">
        <v>9</v>
      </c>
      <c r="J95" s="400" t="s">
        <v>21</v>
      </c>
      <c r="K95" s="401" t="s">
        <v>35</v>
      </c>
      <c r="L95" s="401" t="s">
        <v>36</v>
      </c>
      <c r="M95" s="401" t="s">
        <v>37</v>
      </c>
      <c r="N95" s="401" t="s">
        <v>38</v>
      </c>
      <c r="O95" s="401" t="s">
        <v>39</v>
      </c>
      <c r="P95" s="401" t="s">
        <v>40</v>
      </c>
    </row>
    <row r="96" spans="1:16">
      <c r="A96" s="402" t="s">
        <v>512</v>
      </c>
      <c r="B96" s="403">
        <v>60</v>
      </c>
      <c r="C96" s="403">
        <v>60</v>
      </c>
      <c r="D96" s="403">
        <v>50</v>
      </c>
      <c r="E96" s="403">
        <v>45</v>
      </c>
      <c r="F96" s="403">
        <v>45</v>
      </c>
      <c r="G96" s="403">
        <v>35</v>
      </c>
      <c r="H96" s="403">
        <v>30</v>
      </c>
      <c r="I96" s="403">
        <v>25</v>
      </c>
      <c r="J96" s="404">
        <v>15</v>
      </c>
      <c r="K96" s="405">
        <v>0</v>
      </c>
      <c r="L96">
        <v>0</v>
      </c>
      <c r="M96">
        <v>0</v>
      </c>
      <c r="N96">
        <v>0</v>
      </c>
      <c r="O96">
        <v>0</v>
      </c>
      <c r="P96">
        <v>0</v>
      </c>
    </row>
    <row r="97" spans="1:16">
      <c r="A97" s="406">
        <v>40</v>
      </c>
      <c r="B97" s="407">
        <v>30</v>
      </c>
      <c r="C97" s="407">
        <v>35</v>
      </c>
      <c r="D97" s="407">
        <v>25</v>
      </c>
      <c r="E97" s="407">
        <v>20</v>
      </c>
      <c r="F97" s="407">
        <v>15</v>
      </c>
      <c r="G97" s="407">
        <v>5</v>
      </c>
      <c r="H97" s="407">
        <v>5</v>
      </c>
      <c r="I97" s="407">
        <v>5</v>
      </c>
      <c r="J97" s="407">
        <v>0</v>
      </c>
      <c r="K97" s="408">
        <v>0</v>
      </c>
      <c r="L97">
        <v>0</v>
      </c>
      <c r="M97">
        <v>0</v>
      </c>
      <c r="N97">
        <v>0</v>
      </c>
      <c r="O97">
        <v>0</v>
      </c>
      <c r="P97">
        <v>0</v>
      </c>
    </row>
    <row r="98" spans="1:16">
      <c r="A98" s="406">
        <v>50</v>
      </c>
      <c r="B98" s="407">
        <v>45</v>
      </c>
      <c r="C98" s="407">
        <v>45</v>
      </c>
      <c r="D98" s="407">
        <v>30</v>
      </c>
      <c r="E98" s="407">
        <v>30</v>
      </c>
      <c r="F98" s="407">
        <v>20</v>
      </c>
      <c r="G98" s="407">
        <v>10</v>
      </c>
      <c r="H98" s="407">
        <v>10</v>
      </c>
      <c r="I98" s="407">
        <v>5</v>
      </c>
      <c r="J98" s="407">
        <v>5</v>
      </c>
      <c r="K98" s="408">
        <v>0</v>
      </c>
      <c r="L98">
        <v>0</v>
      </c>
      <c r="M98">
        <v>0</v>
      </c>
      <c r="N98">
        <v>0</v>
      </c>
      <c r="O98">
        <v>0</v>
      </c>
      <c r="P98">
        <v>0</v>
      </c>
    </row>
    <row r="99" spans="1:16">
      <c r="A99" s="406">
        <v>60</v>
      </c>
      <c r="B99" s="407">
        <v>50</v>
      </c>
      <c r="C99" s="407">
        <v>50</v>
      </c>
      <c r="D99" s="407">
        <v>40</v>
      </c>
      <c r="E99" s="407">
        <v>35</v>
      </c>
      <c r="F99" s="407">
        <v>25</v>
      </c>
      <c r="G99" s="407">
        <v>15</v>
      </c>
      <c r="H99" s="407">
        <v>10</v>
      </c>
      <c r="I99" s="407">
        <v>5</v>
      </c>
      <c r="J99" s="407">
        <v>5</v>
      </c>
      <c r="K99" s="408">
        <v>0</v>
      </c>
      <c r="L99">
        <v>0</v>
      </c>
      <c r="M99">
        <v>0</v>
      </c>
      <c r="N99">
        <v>0</v>
      </c>
      <c r="O99">
        <v>0</v>
      </c>
      <c r="P99">
        <v>0</v>
      </c>
    </row>
    <row r="100" spans="1:16">
      <c r="A100" s="406">
        <v>70</v>
      </c>
      <c r="B100" s="407">
        <v>60</v>
      </c>
      <c r="C100" s="407">
        <v>55</v>
      </c>
      <c r="D100" s="407">
        <v>45</v>
      </c>
      <c r="E100" s="407">
        <v>45</v>
      </c>
      <c r="F100" s="407">
        <v>30</v>
      </c>
      <c r="G100" s="407">
        <v>20</v>
      </c>
      <c r="H100" s="407">
        <v>15</v>
      </c>
      <c r="I100" s="407">
        <v>10</v>
      </c>
      <c r="J100" s="407">
        <v>5</v>
      </c>
      <c r="K100" s="408">
        <v>0</v>
      </c>
      <c r="L100">
        <v>0</v>
      </c>
      <c r="M100">
        <v>0</v>
      </c>
      <c r="N100">
        <v>0</v>
      </c>
      <c r="O100">
        <v>0</v>
      </c>
      <c r="P100">
        <v>0</v>
      </c>
    </row>
    <row r="101" spans="1:16">
      <c r="A101" s="406">
        <v>80</v>
      </c>
      <c r="B101" s="407">
        <v>65</v>
      </c>
      <c r="C101" s="407">
        <v>55</v>
      </c>
      <c r="D101" s="407">
        <v>45</v>
      </c>
      <c r="E101" s="407">
        <v>45</v>
      </c>
      <c r="F101" s="407">
        <v>35</v>
      </c>
      <c r="G101" s="407">
        <v>30</v>
      </c>
      <c r="H101" s="407">
        <v>20</v>
      </c>
      <c r="I101" s="407">
        <v>10</v>
      </c>
      <c r="J101" s="407">
        <v>5</v>
      </c>
      <c r="K101" s="408">
        <v>0</v>
      </c>
      <c r="L101">
        <v>0</v>
      </c>
      <c r="M101">
        <v>0</v>
      </c>
      <c r="N101">
        <v>0</v>
      </c>
      <c r="O101">
        <v>0</v>
      </c>
      <c r="P101">
        <v>0</v>
      </c>
    </row>
    <row r="102" spans="1:16">
      <c r="A102" s="406">
        <v>90</v>
      </c>
      <c r="B102" s="407">
        <v>65</v>
      </c>
      <c r="C102" s="407">
        <v>60</v>
      </c>
      <c r="D102" s="407">
        <v>50</v>
      </c>
      <c r="E102" s="407">
        <v>45</v>
      </c>
      <c r="F102" s="407">
        <v>40</v>
      </c>
      <c r="G102" s="407">
        <v>35</v>
      </c>
      <c r="H102" s="407">
        <v>25</v>
      </c>
      <c r="I102" s="407">
        <v>15</v>
      </c>
      <c r="J102" s="407">
        <v>10</v>
      </c>
      <c r="K102" s="408">
        <v>0</v>
      </c>
      <c r="L102">
        <v>0</v>
      </c>
      <c r="M102">
        <v>0</v>
      </c>
      <c r="N102">
        <v>0</v>
      </c>
      <c r="O102">
        <v>0</v>
      </c>
      <c r="P102">
        <v>0</v>
      </c>
    </row>
    <row r="103" spans="1:16">
      <c r="A103" s="406">
        <v>100</v>
      </c>
      <c r="B103" s="407">
        <v>65</v>
      </c>
      <c r="C103" s="407">
        <v>60</v>
      </c>
      <c r="D103" s="407">
        <v>50</v>
      </c>
      <c r="E103" s="407">
        <v>45</v>
      </c>
      <c r="F103" s="407">
        <v>45</v>
      </c>
      <c r="G103" s="407">
        <v>35</v>
      </c>
      <c r="H103" s="407">
        <v>30</v>
      </c>
      <c r="I103" s="407">
        <v>20</v>
      </c>
      <c r="J103" s="407">
        <v>10</v>
      </c>
      <c r="K103" s="408">
        <v>0</v>
      </c>
      <c r="L103">
        <v>0</v>
      </c>
      <c r="M103">
        <v>0</v>
      </c>
      <c r="N103">
        <v>0</v>
      </c>
      <c r="O103">
        <v>0</v>
      </c>
      <c r="P103">
        <v>0</v>
      </c>
    </row>
    <row r="104" spans="1:16">
      <c r="A104" s="406">
        <v>110</v>
      </c>
      <c r="B104" s="407">
        <v>70</v>
      </c>
      <c r="C104" s="407">
        <v>60</v>
      </c>
      <c r="D104" s="407">
        <v>50</v>
      </c>
      <c r="E104" s="407">
        <v>50</v>
      </c>
      <c r="F104" s="407">
        <v>45</v>
      </c>
      <c r="G104" s="407">
        <v>35</v>
      </c>
      <c r="H104" s="407">
        <v>30</v>
      </c>
      <c r="I104" s="407">
        <v>25</v>
      </c>
      <c r="J104" s="407">
        <v>10</v>
      </c>
      <c r="K104" s="408">
        <v>0</v>
      </c>
      <c r="L104">
        <v>0</v>
      </c>
      <c r="M104">
        <v>0</v>
      </c>
      <c r="N104">
        <v>0</v>
      </c>
      <c r="O104">
        <v>0</v>
      </c>
      <c r="P104">
        <v>0</v>
      </c>
    </row>
    <row r="105" spans="1:16">
      <c r="A105" s="406">
        <v>120</v>
      </c>
      <c r="B105" s="407">
        <v>70</v>
      </c>
      <c r="C105" s="407">
        <v>60</v>
      </c>
      <c r="D105" s="407">
        <v>50</v>
      </c>
      <c r="E105" s="407">
        <v>50</v>
      </c>
      <c r="F105" s="407">
        <v>45</v>
      </c>
      <c r="G105" s="407">
        <v>35</v>
      </c>
      <c r="H105" s="407">
        <v>30</v>
      </c>
      <c r="I105" s="407">
        <v>25</v>
      </c>
      <c r="J105" s="407">
        <v>15</v>
      </c>
      <c r="K105" s="408">
        <v>0</v>
      </c>
      <c r="L105">
        <v>0</v>
      </c>
      <c r="M105">
        <v>0</v>
      </c>
      <c r="N105">
        <v>0</v>
      </c>
      <c r="O105">
        <v>0</v>
      </c>
      <c r="P105">
        <v>0</v>
      </c>
    </row>
    <row r="106" spans="1:16">
      <c r="A106" s="406">
        <v>130</v>
      </c>
      <c r="B106" s="407">
        <v>70</v>
      </c>
      <c r="C106" s="407">
        <v>60</v>
      </c>
      <c r="D106" s="407">
        <v>50</v>
      </c>
      <c r="E106" s="407">
        <v>50</v>
      </c>
      <c r="F106" s="407">
        <v>45</v>
      </c>
      <c r="G106" s="407">
        <v>40</v>
      </c>
      <c r="H106" s="407">
        <v>30</v>
      </c>
      <c r="I106" s="407">
        <v>25</v>
      </c>
      <c r="J106" s="407">
        <v>15</v>
      </c>
      <c r="K106" s="408">
        <v>0</v>
      </c>
      <c r="L106">
        <v>0</v>
      </c>
      <c r="M106">
        <v>0</v>
      </c>
      <c r="N106">
        <v>0</v>
      </c>
      <c r="O106">
        <v>0</v>
      </c>
      <c r="P106">
        <v>0</v>
      </c>
    </row>
    <row r="107" spans="1:16">
      <c r="A107" s="412">
        <v>140</v>
      </c>
      <c r="B107" s="413">
        <v>75</v>
      </c>
      <c r="C107" s="413">
        <v>65</v>
      </c>
      <c r="D107" s="413">
        <v>50</v>
      </c>
      <c r="E107" s="413">
        <v>50</v>
      </c>
      <c r="F107" s="413">
        <v>45</v>
      </c>
      <c r="G107" s="413">
        <v>40</v>
      </c>
      <c r="H107" s="413">
        <v>30</v>
      </c>
      <c r="I107" s="413">
        <v>30</v>
      </c>
      <c r="J107" s="413">
        <v>15</v>
      </c>
      <c r="K107" s="414">
        <v>0</v>
      </c>
      <c r="L107">
        <v>0</v>
      </c>
      <c r="M107">
        <v>0</v>
      </c>
      <c r="N107">
        <v>0</v>
      </c>
      <c r="O107">
        <v>0</v>
      </c>
      <c r="P107">
        <v>0</v>
      </c>
    </row>
    <row r="108" spans="1:16">
      <c r="A108" s="407"/>
      <c r="B108" s="407"/>
      <c r="C108" s="407"/>
      <c r="D108" s="407"/>
      <c r="E108" s="407"/>
      <c r="F108" s="407"/>
      <c r="G108" s="407"/>
      <c r="H108" s="407"/>
      <c r="I108" s="407"/>
      <c r="J108" s="407"/>
      <c r="K108" s="407"/>
    </row>
    <row r="109" spans="1:16">
      <c r="A109">
        <f>INDEX(A113:A124,'All Rev &amp; Projects'!$A$228)</f>
        <v>70</v>
      </c>
      <c r="B109" s="269">
        <f>INDEX(B113:B124,'All Rev &amp; Projects'!$A$228)-B113</f>
        <v>0</v>
      </c>
      <c r="C109" s="269">
        <f>INDEX(C113:C124,'All Rev &amp; Projects'!$A$228)-C113</f>
        <v>0</v>
      </c>
      <c r="D109" s="269">
        <f>INDEX(D113:D124,'All Rev &amp; Projects'!$A$228)-D113</f>
        <v>0</v>
      </c>
      <c r="E109" s="269">
        <f>INDEX(E113:E124,'All Rev &amp; Projects'!$A$228)-E113</f>
        <v>0</v>
      </c>
      <c r="F109" s="269">
        <f>INDEX(F113:F124,'All Rev &amp; Projects'!$A$228)-F113</f>
        <v>0</v>
      </c>
      <c r="G109" s="269">
        <f>INDEX(G113:G124,'All Rev &amp; Projects'!$A$228)-G113</f>
        <v>0</v>
      </c>
      <c r="H109" s="269">
        <f>INDEX(H113:H124,'All Rev &amp; Projects'!$A$228)-H113</f>
        <v>0</v>
      </c>
      <c r="I109" s="269">
        <f>INDEX(I113:I124,'All Rev &amp; Projects'!$A$228)-I113</f>
        <v>0</v>
      </c>
      <c r="J109" s="269">
        <f>INDEX(J113:J124,'All Rev &amp; Projects'!$A$228)-J113</f>
        <v>0</v>
      </c>
      <c r="K109" s="269">
        <f>INDEX(K113:K124,'All Rev &amp; Projects'!$A$228)-K113</f>
        <v>0</v>
      </c>
      <c r="L109" s="269">
        <f>INDEX(L113:L124,'All Rev &amp; Projects'!$A$228)-L113</f>
        <v>0</v>
      </c>
      <c r="M109" s="269">
        <f>INDEX(M113:M124,'All Rev &amp; Projects'!$A$228)-M113</f>
        <v>-5</v>
      </c>
      <c r="N109" s="269">
        <f>INDEX(N113:N124,'All Rev &amp; Projects'!$A$228)-N113</f>
        <v>-5</v>
      </c>
      <c r="O109" s="269">
        <f>INDEX(O113:O124,'All Rev &amp; Projects'!$A$228)-O113</f>
        <v>-5</v>
      </c>
      <c r="P109" s="269">
        <f>INDEX(P113:P124,'All Rev &amp; Projects'!$A$228)-P113</f>
        <v>-5</v>
      </c>
    </row>
    <row r="111" spans="1:16" ht="18.75">
      <c r="A111" s="398" t="s">
        <v>532</v>
      </c>
      <c r="D111" t="s">
        <v>716</v>
      </c>
    </row>
    <row r="112" spans="1:16">
      <c r="A112" s="399" t="s">
        <v>511</v>
      </c>
      <c r="B112" s="400" t="s">
        <v>2</v>
      </c>
      <c r="C112" s="400" t="s">
        <v>3</v>
      </c>
      <c r="D112" s="400" t="s">
        <v>4</v>
      </c>
      <c r="E112" s="400" t="s">
        <v>5</v>
      </c>
      <c r="F112" s="400" t="s">
        <v>6</v>
      </c>
      <c r="G112" s="400" t="s">
        <v>7</v>
      </c>
      <c r="H112" s="400" t="s">
        <v>8</v>
      </c>
      <c r="I112" s="400" t="s">
        <v>9</v>
      </c>
      <c r="J112" s="400" t="s">
        <v>21</v>
      </c>
      <c r="K112" s="401" t="s">
        <v>35</v>
      </c>
      <c r="L112" s="401" t="s">
        <v>36</v>
      </c>
      <c r="M112" s="401" t="s">
        <v>37</v>
      </c>
      <c r="N112" s="401" t="s">
        <v>38</v>
      </c>
      <c r="O112" s="401" t="s">
        <v>39</v>
      </c>
      <c r="P112" s="401" t="s">
        <v>40</v>
      </c>
    </row>
    <row r="113" spans="1:16">
      <c r="A113" s="402" t="s">
        <v>512</v>
      </c>
      <c r="B113" s="403">
        <v>10</v>
      </c>
      <c r="C113" s="403">
        <v>10</v>
      </c>
      <c r="D113" s="403">
        <v>10</v>
      </c>
      <c r="E113" s="403">
        <v>10</v>
      </c>
      <c r="F113" s="403">
        <v>10</v>
      </c>
      <c r="G113" s="403">
        <v>10</v>
      </c>
      <c r="H113" s="403">
        <v>10</v>
      </c>
      <c r="I113" s="403">
        <v>10</v>
      </c>
      <c r="J113" s="404">
        <v>10</v>
      </c>
      <c r="K113" s="405">
        <v>10</v>
      </c>
      <c r="L113">
        <v>10</v>
      </c>
      <c r="M113">
        <v>15</v>
      </c>
      <c r="N113">
        <v>15</v>
      </c>
      <c r="O113">
        <v>15</v>
      </c>
      <c r="P113">
        <v>15</v>
      </c>
    </row>
    <row r="114" spans="1:16">
      <c r="A114" s="406">
        <v>40</v>
      </c>
      <c r="B114" s="407">
        <v>10</v>
      </c>
      <c r="C114" s="407">
        <v>10</v>
      </c>
      <c r="D114" s="407">
        <v>10</v>
      </c>
      <c r="E114" s="407">
        <v>10</v>
      </c>
      <c r="F114" s="407">
        <v>10</v>
      </c>
      <c r="G114" s="407">
        <v>10</v>
      </c>
      <c r="H114" s="407">
        <v>10</v>
      </c>
      <c r="I114" s="407">
        <v>10</v>
      </c>
      <c r="J114" s="407">
        <v>10</v>
      </c>
      <c r="K114" s="408">
        <v>10</v>
      </c>
      <c r="L114">
        <v>10</v>
      </c>
      <c r="M114">
        <v>10</v>
      </c>
      <c r="N114">
        <v>10</v>
      </c>
      <c r="O114">
        <v>10</v>
      </c>
      <c r="P114">
        <v>10</v>
      </c>
    </row>
    <row r="115" spans="1:16">
      <c r="A115" s="406">
        <v>50</v>
      </c>
      <c r="B115" s="407">
        <v>10</v>
      </c>
      <c r="C115" s="407">
        <v>10</v>
      </c>
      <c r="D115" s="407">
        <v>10</v>
      </c>
      <c r="E115" s="407">
        <v>10</v>
      </c>
      <c r="F115" s="407">
        <v>10</v>
      </c>
      <c r="G115" s="407">
        <v>10</v>
      </c>
      <c r="H115" s="407">
        <v>10</v>
      </c>
      <c r="I115" s="407">
        <v>10</v>
      </c>
      <c r="J115" s="407">
        <v>10</v>
      </c>
      <c r="K115" s="408">
        <v>10</v>
      </c>
      <c r="L115">
        <v>10</v>
      </c>
      <c r="M115">
        <v>10</v>
      </c>
      <c r="N115">
        <v>10</v>
      </c>
      <c r="O115">
        <v>10</v>
      </c>
      <c r="P115">
        <v>10</v>
      </c>
    </row>
    <row r="116" spans="1:16">
      <c r="A116" s="406">
        <v>60</v>
      </c>
      <c r="B116" s="407">
        <v>10</v>
      </c>
      <c r="C116" s="407">
        <v>10</v>
      </c>
      <c r="D116" s="407">
        <v>10</v>
      </c>
      <c r="E116" s="407">
        <v>10</v>
      </c>
      <c r="F116" s="407">
        <v>10</v>
      </c>
      <c r="G116" s="407">
        <v>10</v>
      </c>
      <c r="H116" s="407">
        <v>10</v>
      </c>
      <c r="I116" s="407">
        <v>10</v>
      </c>
      <c r="J116" s="407">
        <v>10</v>
      </c>
      <c r="K116" s="408">
        <v>10</v>
      </c>
      <c r="L116">
        <v>10</v>
      </c>
      <c r="M116">
        <v>10</v>
      </c>
      <c r="N116">
        <v>10</v>
      </c>
      <c r="O116">
        <v>10</v>
      </c>
      <c r="P116">
        <v>10</v>
      </c>
    </row>
    <row r="117" spans="1:16">
      <c r="A117" s="406">
        <v>70</v>
      </c>
      <c r="B117" s="407">
        <v>10</v>
      </c>
      <c r="C117" s="407">
        <v>10</v>
      </c>
      <c r="D117" s="407">
        <v>10</v>
      </c>
      <c r="E117" s="407">
        <v>10</v>
      </c>
      <c r="F117" s="407">
        <v>10</v>
      </c>
      <c r="G117" s="407">
        <v>10</v>
      </c>
      <c r="H117" s="407">
        <v>10</v>
      </c>
      <c r="I117" s="407">
        <v>10</v>
      </c>
      <c r="J117" s="407">
        <v>10</v>
      </c>
      <c r="K117" s="408">
        <v>10</v>
      </c>
      <c r="L117">
        <v>10</v>
      </c>
      <c r="M117">
        <v>10</v>
      </c>
      <c r="N117">
        <v>10</v>
      </c>
      <c r="O117">
        <v>10</v>
      </c>
      <c r="P117">
        <v>10</v>
      </c>
    </row>
    <row r="118" spans="1:16">
      <c r="A118" s="406">
        <v>80</v>
      </c>
      <c r="B118" s="407">
        <v>10</v>
      </c>
      <c r="C118" s="407">
        <v>10</v>
      </c>
      <c r="D118" s="407">
        <v>10</v>
      </c>
      <c r="E118" s="407">
        <v>10</v>
      </c>
      <c r="F118" s="407">
        <v>10</v>
      </c>
      <c r="G118" s="407">
        <v>10</v>
      </c>
      <c r="H118" s="407">
        <v>10</v>
      </c>
      <c r="I118" s="407">
        <v>10</v>
      </c>
      <c r="J118" s="407">
        <v>10</v>
      </c>
      <c r="K118" s="408">
        <v>10</v>
      </c>
      <c r="L118">
        <v>10</v>
      </c>
      <c r="M118">
        <v>10</v>
      </c>
      <c r="N118">
        <v>10</v>
      </c>
      <c r="O118">
        <v>10</v>
      </c>
      <c r="P118">
        <v>10</v>
      </c>
    </row>
    <row r="119" spans="1:16">
      <c r="A119" s="406">
        <v>90</v>
      </c>
      <c r="B119" s="407">
        <v>10</v>
      </c>
      <c r="C119" s="407">
        <v>10</v>
      </c>
      <c r="D119" s="407">
        <v>10</v>
      </c>
      <c r="E119" s="407">
        <v>10</v>
      </c>
      <c r="F119" s="407">
        <v>10</v>
      </c>
      <c r="G119" s="407">
        <v>10</v>
      </c>
      <c r="H119" s="407">
        <v>10</v>
      </c>
      <c r="I119" s="407">
        <v>10</v>
      </c>
      <c r="J119" s="407">
        <v>10</v>
      </c>
      <c r="K119" s="408">
        <v>10</v>
      </c>
      <c r="L119">
        <v>10</v>
      </c>
      <c r="M119">
        <v>10</v>
      </c>
      <c r="N119">
        <v>10</v>
      </c>
      <c r="O119">
        <v>10</v>
      </c>
      <c r="P119">
        <v>10</v>
      </c>
    </row>
    <row r="120" spans="1:16">
      <c r="A120" s="406">
        <v>100</v>
      </c>
      <c r="B120" s="407">
        <v>10</v>
      </c>
      <c r="C120" s="407">
        <v>10</v>
      </c>
      <c r="D120" s="407">
        <v>10</v>
      </c>
      <c r="E120" s="407">
        <v>10</v>
      </c>
      <c r="F120" s="407">
        <v>10</v>
      </c>
      <c r="G120" s="407">
        <v>10</v>
      </c>
      <c r="H120" s="407">
        <v>10</v>
      </c>
      <c r="I120" s="407">
        <v>10</v>
      </c>
      <c r="J120" s="407">
        <v>10</v>
      </c>
      <c r="K120" s="408">
        <v>10</v>
      </c>
      <c r="L120">
        <v>10</v>
      </c>
      <c r="M120">
        <v>10</v>
      </c>
      <c r="N120">
        <v>10</v>
      </c>
      <c r="O120">
        <v>10</v>
      </c>
      <c r="P120">
        <v>10</v>
      </c>
    </row>
    <row r="121" spans="1:16">
      <c r="A121" s="406">
        <v>110</v>
      </c>
      <c r="B121" s="407">
        <v>10</v>
      </c>
      <c r="C121" s="407">
        <v>10</v>
      </c>
      <c r="D121" s="407">
        <v>10</v>
      </c>
      <c r="E121" s="407">
        <v>10</v>
      </c>
      <c r="F121" s="407">
        <v>10</v>
      </c>
      <c r="G121" s="407">
        <v>10</v>
      </c>
      <c r="H121" s="407">
        <v>10</v>
      </c>
      <c r="I121" s="407">
        <v>10</v>
      </c>
      <c r="J121" s="407">
        <v>10</v>
      </c>
      <c r="K121" s="408">
        <v>10</v>
      </c>
      <c r="L121">
        <v>10</v>
      </c>
      <c r="M121">
        <v>10</v>
      </c>
      <c r="N121">
        <v>10</v>
      </c>
      <c r="O121">
        <v>10</v>
      </c>
      <c r="P121">
        <v>10</v>
      </c>
    </row>
    <row r="122" spans="1:16">
      <c r="A122" s="406">
        <v>120</v>
      </c>
      <c r="B122" s="407">
        <v>10</v>
      </c>
      <c r="C122" s="407">
        <v>10</v>
      </c>
      <c r="D122" s="407">
        <v>10</v>
      </c>
      <c r="E122" s="407">
        <v>10</v>
      </c>
      <c r="F122" s="407">
        <v>10</v>
      </c>
      <c r="G122" s="407">
        <v>10</v>
      </c>
      <c r="H122" s="407">
        <v>10</v>
      </c>
      <c r="I122" s="407">
        <v>10</v>
      </c>
      <c r="J122" s="407">
        <v>10</v>
      </c>
      <c r="K122" s="408">
        <v>10</v>
      </c>
      <c r="L122">
        <v>10</v>
      </c>
      <c r="M122">
        <v>10</v>
      </c>
      <c r="N122">
        <v>10</v>
      </c>
      <c r="O122">
        <v>10</v>
      </c>
      <c r="P122">
        <v>10</v>
      </c>
    </row>
    <row r="123" spans="1:16">
      <c r="A123" s="406">
        <v>130</v>
      </c>
      <c r="B123" s="407">
        <v>10</v>
      </c>
      <c r="C123" s="407">
        <v>10</v>
      </c>
      <c r="D123" s="407">
        <v>10</v>
      </c>
      <c r="E123" s="407">
        <v>10</v>
      </c>
      <c r="F123" s="407">
        <v>10</v>
      </c>
      <c r="G123" s="407">
        <v>10</v>
      </c>
      <c r="H123" s="407">
        <v>10</v>
      </c>
      <c r="I123" s="407">
        <v>10</v>
      </c>
      <c r="J123" s="407">
        <v>10</v>
      </c>
      <c r="K123" s="408">
        <v>10</v>
      </c>
      <c r="L123">
        <v>10</v>
      </c>
      <c r="M123">
        <v>10</v>
      </c>
      <c r="N123">
        <v>10</v>
      </c>
      <c r="O123">
        <v>10</v>
      </c>
      <c r="P123">
        <v>10</v>
      </c>
    </row>
    <row r="124" spans="1:16">
      <c r="A124" s="412">
        <v>140</v>
      </c>
      <c r="B124" s="413">
        <v>10</v>
      </c>
      <c r="C124" s="413">
        <v>10</v>
      </c>
      <c r="D124" s="413">
        <v>10</v>
      </c>
      <c r="E124" s="413">
        <v>10</v>
      </c>
      <c r="F124" s="413">
        <v>10</v>
      </c>
      <c r="G124" s="413">
        <v>10</v>
      </c>
      <c r="H124" s="413">
        <v>10</v>
      </c>
      <c r="I124" s="413">
        <v>10</v>
      </c>
      <c r="J124" s="413">
        <v>15</v>
      </c>
      <c r="K124" s="414">
        <v>15</v>
      </c>
      <c r="L124">
        <v>15</v>
      </c>
      <c r="M124">
        <v>15</v>
      </c>
      <c r="N124">
        <v>15</v>
      </c>
      <c r="O124">
        <v>15</v>
      </c>
      <c r="P124">
        <v>15</v>
      </c>
    </row>
    <row r="125" spans="1:16">
      <c r="A125" s="407"/>
      <c r="B125" s="407"/>
      <c r="C125" s="407"/>
      <c r="D125" s="407"/>
      <c r="E125" s="407"/>
      <c r="F125" s="407"/>
      <c r="G125" s="407"/>
      <c r="H125" s="407"/>
      <c r="I125" s="407"/>
      <c r="J125" s="407"/>
      <c r="K125" s="407"/>
    </row>
    <row r="126" spans="1:16">
      <c r="A126">
        <f>INDEX(A130:A141,'All Rev &amp; Projects'!$A$228)</f>
        <v>70</v>
      </c>
      <c r="B126" s="269">
        <f>INDEX(B130:B141,'All Rev &amp; Projects'!$A$228)-B130</f>
        <v>0</v>
      </c>
      <c r="C126" s="269">
        <f>INDEX(C130:C141,'All Rev &amp; Projects'!$A$228)-C130</f>
        <v>0</v>
      </c>
      <c r="D126" s="269">
        <f>INDEX(D130:D141,'All Rev &amp; Projects'!$A$228)-D130</f>
        <v>0</v>
      </c>
      <c r="E126" s="269">
        <f>INDEX(E130:E141,'All Rev &amp; Projects'!$A$228)-E130</f>
        <v>0</v>
      </c>
      <c r="F126" s="269">
        <f>INDEX(F130:F141,'All Rev &amp; Projects'!$A$228)-F130</f>
        <v>0</v>
      </c>
      <c r="G126" s="269">
        <f>INDEX(G130:G141,'All Rev &amp; Projects'!$A$228)-G130</f>
        <v>0</v>
      </c>
      <c r="H126" s="269">
        <f>INDEX(H130:H141,'All Rev &amp; Projects'!$A$228)-H130</f>
        <v>0</v>
      </c>
      <c r="I126" s="269">
        <f>INDEX(I130:I141,'All Rev &amp; Projects'!$A$228)-I130</f>
        <v>0</v>
      </c>
      <c r="J126" s="269">
        <f>INDEX(J130:J141,'All Rev &amp; Projects'!$A$228)-J130</f>
        <v>0</v>
      </c>
      <c r="K126" s="269">
        <f>INDEX(K130:K141,'All Rev &amp; Projects'!$A$228)-K130</f>
        <v>0</v>
      </c>
      <c r="L126" s="269">
        <f>INDEX(L130:L141,'All Rev &amp; Projects'!$A$228)-L130</f>
        <v>0</v>
      </c>
      <c r="M126" s="269">
        <f>INDEX(M130:M141,'All Rev &amp; Projects'!$A$228)-M130</f>
        <v>0</v>
      </c>
      <c r="N126" s="269">
        <f>INDEX(N130:N141,'All Rev &amp; Projects'!$A$228)-N130</f>
        <v>0</v>
      </c>
      <c r="O126" s="269">
        <f>INDEX(O130:O141,'All Rev &amp; Projects'!$A$228)-O130</f>
        <v>0</v>
      </c>
      <c r="P126" s="269">
        <f>INDEX(P130:P141,'All Rev &amp; Projects'!$A$228)-P130</f>
        <v>0</v>
      </c>
    </row>
    <row r="128" spans="1:16" ht="18.75">
      <c r="A128" s="398" t="s">
        <v>533</v>
      </c>
      <c r="D128" t="s">
        <v>717</v>
      </c>
    </row>
    <row r="129" spans="1:16">
      <c r="A129" s="399" t="s">
        <v>511</v>
      </c>
      <c r="B129" s="400" t="s">
        <v>2</v>
      </c>
      <c r="C129" s="400" t="s">
        <v>3</v>
      </c>
      <c r="D129" s="400" t="s">
        <v>4</v>
      </c>
      <c r="E129" s="400" t="s">
        <v>5</v>
      </c>
      <c r="F129" s="400" t="s">
        <v>6</v>
      </c>
      <c r="G129" s="400" t="s">
        <v>7</v>
      </c>
      <c r="H129" s="400" t="s">
        <v>8</v>
      </c>
      <c r="I129" s="400" t="s">
        <v>9</v>
      </c>
      <c r="J129" s="400" t="s">
        <v>21</v>
      </c>
      <c r="K129" s="401" t="s">
        <v>35</v>
      </c>
      <c r="L129" s="401" t="s">
        <v>36</v>
      </c>
      <c r="M129" s="401" t="s">
        <v>37</v>
      </c>
      <c r="N129" s="401" t="s">
        <v>38</v>
      </c>
      <c r="O129" s="401" t="s">
        <v>39</v>
      </c>
      <c r="P129" s="401" t="s">
        <v>40</v>
      </c>
    </row>
    <row r="130" spans="1:16">
      <c r="A130" s="402" t="s">
        <v>512</v>
      </c>
      <c r="B130" s="403">
        <v>5</v>
      </c>
      <c r="C130" s="403">
        <v>5</v>
      </c>
      <c r="D130" s="403">
        <v>5</v>
      </c>
      <c r="E130" s="403">
        <v>5</v>
      </c>
      <c r="F130" s="403">
        <v>5</v>
      </c>
      <c r="G130" s="403">
        <v>5</v>
      </c>
      <c r="H130" s="403">
        <v>5</v>
      </c>
      <c r="I130" s="403">
        <v>0</v>
      </c>
      <c r="J130" s="404">
        <v>0</v>
      </c>
      <c r="K130" s="405">
        <v>0</v>
      </c>
      <c r="L130">
        <v>0</v>
      </c>
      <c r="M130">
        <v>0</v>
      </c>
      <c r="N130">
        <v>0</v>
      </c>
      <c r="O130">
        <v>0</v>
      </c>
      <c r="P130">
        <v>0</v>
      </c>
    </row>
    <row r="131" spans="1:16">
      <c r="A131" s="406">
        <v>40</v>
      </c>
      <c r="B131" s="407">
        <v>5</v>
      </c>
      <c r="C131" s="407">
        <v>5</v>
      </c>
      <c r="D131" s="407">
        <v>5</v>
      </c>
      <c r="E131" s="407">
        <v>5</v>
      </c>
      <c r="F131" s="407">
        <v>5</v>
      </c>
      <c r="G131" s="407">
        <v>5</v>
      </c>
      <c r="H131" s="407">
        <v>5</v>
      </c>
      <c r="I131" s="407">
        <v>0</v>
      </c>
      <c r="J131" s="407">
        <v>0</v>
      </c>
      <c r="K131" s="408">
        <v>0</v>
      </c>
      <c r="L131">
        <v>0</v>
      </c>
      <c r="M131">
        <v>0</v>
      </c>
      <c r="N131">
        <v>0</v>
      </c>
      <c r="O131">
        <v>0</v>
      </c>
      <c r="P131">
        <v>0</v>
      </c>
    </row>
    <row r="132" spans="1:16">
      <c r="A132" s="406">
        <v>50</v>
      </c>
      <c r="B132" s="407">
        <v>5</v>
      </c>
      <c r="C132" s="407">
        <v>5</v>
      </c>
      <c r="D132" s="407">
        <v>5</v>
      </c>
      <c r="E132" s="407">
        <v>5</v>
      </c>
      <c r="F132" s="407">
        <v>5</v>
      </c>
      <c r="G132" s="407">
        <v>5</v>
      </c>
      <c r="H132" s="407">
        <v>5</v>
      </c>
      <c r="I132" s="407">
        <v>0</v>
      </c>
      <c r="J132" s="407">
        <v>0</v>
      </c>
      <c r="K132" s="408">
        <v>0</v>
      </c>
      <c r="L132">
        <v>0</v>
      </c>
      <c r="M132">
        <v>0</v>
      </c>
      <c r="N132">
        <v>0</v>
      </c>
      <c r="O132">
        <v>0</v>
      </c>
      <c r="P132">
        <v>0</v>
      </c>
    </row>
    <row r="133" spans="1:16">
      <c r="A133" s="406">
        <v>60</v>
      </c>
      <c r="B133" s="407">
        <v>5</v>
      </c>
      <c r="C133" s="407">
        <v>5</v>
      </c>
      <c r="D133" s="407">
        <v>5</v>
      </c>
      <c r="E133" s="407">
        <v>5</v>
      </c>
      <c r="F133" s="407">
        <v>5</v>
      </c>
      <c r="G133" s="407">
        <v>5</v>
      </c>
      <c r="H133" s="407">
        <v>5</v>
      </c>
      <c r="I133" s="407">
        <v>0</v>
      </c>
      <c r="J133" s="407">
        <v>0</v>
      </c>
      <c r="K133" s="408">
        <v>0</v>
      </c>
      <c r="L133">
        <v>0</v>
      </c>
      <c r="M133">
        <v>0</v>
      </c>
      <c r="N133">
        <v>0</v>
      </c>
      <c r="O133">
        <v>0</v>
      </c>
      <c r="P133">
        <v>0</v>
      </c>
    </row>
    <row r="134" spans="1:16">
      <c r="A134" s="406">
        <v>70</v>
      </c>
      <c r="B134" s="407">
        <v>5</v>
      </c>
      <c r="C134" s="407">
        <v>5</v>
      </c>
      <c r="D134" s="407">
        <v>5</v>
      </c>
      <c r="E134" s="407">
        <v>5</v>
      </c>
      <c r="F134" s="407">
        <v>5</v>
      </c>
      <c r="G134" s="407">
        <v>5</v>
      </c>
      <c r="H134" s="407">
        <v>5</v>
      </c>
      <c r="I134" s="407">
        <v>0</v>
      </c>
      <c r="J134" s="407">
        <v>0</v>
      </c>
      <c r="K134" s="408">
        <v>0</v>
      </c>
      <c r="L134">
        <v>0</v>
      </c>
      <c r="M134">
        <v>0</v>
      </c>
      <c r="N134">
        <v>0</v>
      </c>
      <c r="O134">
        <v>0</v>
      </c>
      <c r="P134">
        <v>0</v>
      </c>
    </row>
    <row r="135" spans="1:16">
      <c r="A135" s="406">
        <v>80</v>
      </c>
      <c r="B135" s="407">
        <v>5</v>
      </c>
      <c r="C135" s="407">
        <v>5</v>
      </c>
      <c r="D135" s="407">
        <v>5</v>
      </c>
      <c r="E135" s="407">
        <v>5</v>
      </c>
      <c r="F135" s="407">
        <v>5</v>
      </c>
      <c r="G135" s="407">
        <v>5</v>
      </c>
      <c r="H135" s="407">
        <v>5</v>
      </c>
      <c r="I135" s="407">
        <v>0</v>
      </c>
      <c r="J135" s="407">
        <v>0</v>
      </c>
      <c r="K135" s="408">
        <v>0</v>
      </c>
      <c r="L135">
        <v>0</v>
      </c>
      <c r="M135">
        <v>0</v>
      </c>
      <c r="N135">
        <v>0</v>
      </c>
      <c r="O135">
        <v>0</v>
      </c>
      <c r="P135">
        <v>0</v>
      </c>
    </row>
    <row r="136" spans="1:16">
      <c r="A136" s="406">
        <v>90</v>
      </c>
      <c r="B136" s="407">
        <v>5</v>
      </c>
      <c r="C136" s="407">
        <v>5</v>
      </c>
      <c r="D136" s="407">
        <v>5</v>
      </c>
      <c r="E136" s="407">
        <v>5</v>
      </c>
      <c r="F136" s="407">
        <v>5</v>
      </c>
      <c r="G136" s="407">
        <v>5</v>
      </c>
      <c r="H136" s="407">
        <v>5</v>
      </c>
      <c r="I136" s="407">
        <v>0</v>
      </c>
      <c r="J136" s="407">
        <v>0</v>
      </c>
      <c r="K136" s="408">
        <v>0</v>
      </c>
      <c r="L136">
        <v>0</v>
      </c>
      <c r="M136">
        <v>0</v>
      </c>
      <c r="N136">
        <v>0</v>
      </c>
      <c r="O136">
        <v>0</v>
      </c>
      <c r="P136">
        <v>0</v>
      </c>
    </row>
    <row r="137" spans="1:16">
      <c r="A137" s="406">
        <v>100</v>
      </c>
      <c r="B137" s="407">
        <v>5</v>
      </c>
      <c r="C137" s="407">
        <v>5</v>
      </c>
      <c r="D137" s="407">
        <v>5</v>
      </c>
      <c r="E137" s="407">
        <v>5</v>
      </c>
      <c r="F137" s="407">
        <v>5</v>
      </c>
      <c r="G137" s="407">
        <v>5</v>
      </c>
      <c r="H137" s="407">
        <v>5</v>
      </c>
      <c r="I137" s="407">
        <v>0</v>
      </c>
      <c r="J137" s="407">
        <v>0</v>
      </c>
      <c r="K137" s="408">
        <v>0</v>
      </c>
      <c r="L137">
        <v>0</v>
      </c>
      <c r="M137">
        <v>0</v>
      </c>
      <c r="N137">
        <v>0</v>
      </c>
      <c r="O137">
        <v>0</v>
      </c>
      <c r="P137">
        <v>0</v>
      </c>
    </row>
    <row r="138" spans="1:16">
      <c r="A138" s="406">
        <v>110</v>
      </c>
      <c r="B138" s="407">
        <v>5</v>
      </c>
      <c r="C138" s="407">
        <v>5</v>
      </c>
      <c r="D138" s="407">
        <v>5</v>
      </c>
      <c r="E138" s="407">
        <v>5</v>
      </c>
      <c r="F138" s="407">
        <v>5</v>
      </c>
      <c r="G138" s="407">
        <v>5</v>
      </c>
      <c r="H138" s="407">
        <v>5</v>
      </c>
      <c r="I138" s="407">
        <v>0</v>
      </c>
      <c r="J138" s="407">
        <v>0</v>
      </c>
      <c r="K138" s="408">
        <v>0</v>
      </c>
      <c r="L138">
        <v>0</v>
      </c>
      <c r="M138">
        <v>0</v>
      </c>
      <c r="N138">
        <v>0</v>
      </c>
      <c r="O138">
        <v>0</v>
      </c>
      <c r="P138">
        <v>0</v>
      </c>
    </row>
    <row r="139" spans="1:16">
      <c r="A139" s="406">
        <v>120</v>
      </c>
      <c r="B139" s="407">
        <v>5</v>
      </c>
      <c r="C139" s="407">
        <v>5</v>
      </c>
      <c r="D139" s="407">
        <v>5</v>
      </c>
      <c r="E139" s="407">
        <v>5</v>
      </c>
      <c r="F139" s="407">
        <v>5</v>
      </c>
      <c r="G139" s="407">
        <v>5</v>
      </c>
      <c r="H139" s="407">
        <v>5</v>
      </c>
      <c r="I139" s="407">
        <v>0</v>
      </c>
      <c r="J139" s="407">
        <v>0</v>
      </c>
      <c r="K139" s="408">
        <v>0</v>
      </c>
      <c r="L139">
        <v>0</v>
      </c>
      <c r="M139">
        <v>0</v>
      </c>
      <c r="N139">
        <v>0</v>
      </c>
      <c r="O139">
        <v>0</v>
      </c>
      <c r="P139">
        <v>0</v>
      </c>
    </row>
    <row r="140" spans="1:16">
      <c r="A140" s="406">
        <v>130</v>
      </c>
      <c r="B140" s="407">
        <v>5</v>
      </c>
      <c r="C140" s="407">
        <v>5</v>
      </c>
      <c r="D140" s="407">
        <v>5</v>
      </c>
      <c r="E140" s="407">
        <v>5</v>
      </c>
      <c r="F140" s="407">
        <v>5</v>
      </c>
      <c r="G140" s="407">
        <v>5</v>
      </c>
      <c r="H140" s="407">
        <v>5</v>
      </c>
      <c r="I140" s="407">
        <v>0</v>
      </c>
      <c r="J140" s="407">
        <v>0</v>
      </c>
      <c r="K140" s="408">
        <v>0</v>
      </c>
      <c r="L140">
        <v>0</v>
      </c>
      <c r="M140">
        <v>0</v>
      </c>
      <c r="N140">
        <v>0</v>
      </c>
      <c r="O140">
        <v>0</v>
      </c>
      <c r="P140">
        <v>0</v>
      </c>
    </row>
    <row r="141" spans="1:16">
      <c r="A141" s="412">
        <v>140</v>
      </c>
      <c r="B141" s="413">
        <v>5</v>
      </c>
      <c r="C141" s="413">
        <v>5</v>
      </c>
      <c r="D141" s="413">
        <v>5</v>
      </c>
      <c r="E141" s="413">
        <v>5</v>
      </c>
      <c r="F141" s="413">
        <v>5</v>
      </c>
      <c r="G141" s="413">
        <v>5</v>
      </c>
      <c r="H141" s="413">
        <v>5</v>
      </c>
      <c r="I141" s="413">
        <v>0</v>
      </c>
      <c r="J141" s="413">
        <v>0</v>
      </c>
      <c r="K141" s="414">
        <v>0</v>
      </c>
      <c r="L141">
        <v>0</v>
      </c>
      <c r="M141">
        <v>0</v>
      </c>
      <c r="N141">
        <v>0</v>
      </c>
      <c r="O141">
        <v>0</v>
      </c>
      <c r="P141">
        <v>0</v>
      </c>
    </row>
  </sheetData>
  <sheetProtection password="CC29" sheet="1" objects="1" scenarios="1"/>
  <pageMargins left="0.25" right="0.25" top="0.75" bottom="0.75" header="0.3" footer="0.3"/>
  <pageSetup scale="87" fitToHeight="2" orientation="portrait" r:id="rId1"/>
  <headerFooter>
    <oddHeader>&amp;LAlaska Department of RevenueTax Division&amp;RPrinted:  &amp;D &amp;TPage: &amp;P of &amp;N</oddHeader>
  </headerFooter>
  <rowBreaks count="1" manualBreakCount="1">
    <brk id="5" max="1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XFC66"/>
  <sheetViews>
    <sheetView zoomScaleNormal="100" workbookViewId="0">
      <selection activeCell="L8" sqref="L8"/>
    </sheetView>
  </sheetViews>
  <sheetFormatPr defaultColWidth="9.140625" defaultRowHeight="12.75"/>
  <cols>
    <col min="1" max="1" width="4.140625" style="157" customWidth="1"/>
    <col min="2" max="2" width="49.140625" style="157" customWidth="1"/>
    <col min="3" max="3" width="13.5703125" style="157" hidden="1" customWidth="1"/>
    <col min="4" max="4" width="12.5703125" style="157" hidden="1" customWidth="1"/>
    <col min="5" max="9" width="10.140625" style="157" hidden="1" customWidth="1"/>
    <col min="10" max="10" width="14.5703125" style="158" bestFit="1" customWidth="1"/>
    <col min="11" max="13" width="8.28515625" style="157" bestFit="1" customWidth="1"/>
    <col min="14" max="14" width="8.28515625" style="157" customWidth="1"/>
    <col min="15" max="15" width="8.28515625" style="157" bestFit="1" customWidth="1"/>
    <col min="16" max="16384" width="9.140625" style="157"/>
  </cols>
  <sheetData>
    <row r="1" spans="1:26" ht="20.25">
      <c r="A1" s="266" t="s">
        <v>274</v>
      </c>
      <c r="B1" s="162"/>
      <c r="C1" s="162"/>
      <c r="D1" s="162"/>
      <c r="E1" s="162"/>
      <c r="F1" s="162"/>
      <c r="G1" s="162"/>
      <c r="H1" s="162"/>
      <c r="I1" s="162"/>
    </row>
    <row r="2" spans="1:26">
      <c r="A2" s="175" t="s">
        <v>273</v>
      </c>
      <c r="B2" s="162"/>
      <c r="C2" s="162"/>
      <c r="D2" s="162"/>
      <c r="E2" s="162"/>
      <c r="F2" s="162"/>
      <c r="G2" s="162"/>
      <c r="H2" s="162"/>
      <c r="I2" s="162"/>
    </row>
    <row r="3" spans="1:26" s="264" customFormat="1" ht="18.75">
      <c r="A3" s="1229"/>
      <c r="B3" s="1230"/>
      <c r="C3" s="1224" t="s">
        <v>272</v>
      </c>
      <c r="D3" s="1225"/>
      <c r="E3" s="1225"/>
      <c r="F3" s="1225"/>
      <c r="G3" s="1225"/>
      <c r="H3" s="1225"/>
      <c r="I3" s="1226"/>
      <c r="J3" s="265" t="s">
        <v>271</v>
      </c>
      <c r="K3" s="1227" t="s">
        <v>270</v>
      </c>
      <c r="L3" s="1228"/>
      <c r="M3" s="1228"/>
      <c r="N3" s="1228"/>
      <c r="O3" s="1228"/>
      <c r="P3" s="1228"/>
      <c r="Q3" s="1228"/>
      <c r="R3" s="1228"/>
      <c r="S3" s="1228"/>
      <c r="T3" s="1228"/>
      <c r="U3" s="1228"/>
      <c r="V3" s="1228"/>
      <c r="W3" s="1228"/>
      <c r="X3" s="1228"/>
      <c r="Y3" s="1228"/>
      <c r="Z3" s="1228"/>
    </row>
    <row r="4" spans="1:26" ht="24" customHeight="1">
      <c r="A4" s="263" t="s">
        <v>269</v>
      </c>
      <c r="B4" s="262"/>
      <c r="C4" s="261" t="s">
        <v>268</v>
      </c>
      <c r="D4" s="259" t="s">
        <v>267</v>
      </c>
      <c r="E4" s="259" t="s">
        <v>266</v>
      </c>
      <c r="F4" s="259" t="s">
        <v>265</v>
      </c>
      <c r="G4" s="259" t="s">
        <v>264</v>
      </c>
      <c r="H4" s="259" t="s">
        <v>263</v>
      </c>
      <c r="I4" s="258" t="s">
        <v>262</v>
      </c>
      <c r="J4" s="260" t="s">
        <v>261</v>
      </c>
      <c r="K4" s="259" t="s">
        <v>260</v>
      </c>
      <c r="L4" s="259" t="s">
        <v>259</v>
      </c>
      <c r="M4" s="259" t="s">
        <v>258</v>
      </c>
      <c r="N4" s="259" t="s">
        <v>257</v>
      </c>
      <c r="O4" s="258" t="s">
        <v>256</v>
      </c>
      <c r="P4" s="1075" t="s">
        <v>858</v>
      </c>
      <c r="Q4" s="1075" t="s">
        <v>859</v>
      </c>
      <c r="R4" s="1075" t="s">
        <v>860</v>
      </c>
      <c r="S4" s="1075" t="s">
        <v>861</v>
      </c>
      <c r="T4" s="1075" t="s">
        <v>862</v>
      </c>
      <c r="U4" s="1075" t="s">
        <v>863</v>
      </c>
      <c r="V4" s="1075" t="s">
        <v>864</v>
      </c>
      <c r="W4" s="1075" t="s">
        <v>865</v>
      </c>
      <c r="X4" s="1075" t="s">
        <v>866</v>
      </c>
      <c r="Y4" s="1075" t="s">
        <v>867</v>
      </c>
      <c r="Z4" s="1076" t="s">
        <v>868</v>
      </c>
    </row>
    <row r="5" spans="1:26" ht="18">
      <c r="A5" s="257" t="s">
        <v>255</v>
      </c>
      <c r="B5" s="254"/>
      <c r="C5" s="256"/>
      <c r="D5" s="254"/>
      <c r="E5" s="254"/>
      <c r="F5" s="254"/>
      <c r="G5" s="254"/>
      <c r="H5" s="254"/>
      <c r="I5" s="253"/>
      <c r="J5" s="255"/>
      <c r="K5" s="254"/>
      <c r="L5" s="254"/>
      <c r="M5" s="254"/>
      <c r="N5" s="254"/>
      <c r="O5" s="253"/>
    </row>
    <row r="6" spans="1:26" ht="15.75">
      <c r="A6" s="225"/>
      <c r="B6" s="223" t="s">
        <v>250</v>
      </c>
      <c r="C6" s="224"/>
      <c r="D6" s="223"/>
      <c r="E6" s="223"/>
      <c r="F6" s="223"/>
      <c r="G6" s="223"/>
      <c r="H6" s="223"/>
      <c r="I6" s="222"/>
      <c r="J6" s="221"/>
      <c r="K6" s="220"/>
      <c r="L6" s="220"/>
      <c r="M6" s="220"/>
      <c r="N6" s="220"/>
      <c r="O6" s="219"/>
    </row>
    <row r="7" spans="1:26" ht="25.5">
      <c r="A7" s="180"/>
      <c r="B7" s="246" t="s">
        <v>249</v>
      </c>
      <c r="C7" s="252">
        <v>55</v>
      </c>
      <c r="D7" s="251" t="s">
        <v>236</v>
      </c>
      <c r="E7" s="250" t="s">
        <v>236</v>
      </c>
      <c r="F7" s="249">
        <v>223</v>
      </c>
      <c r="G7" s="249">
        <v>400</v>
      </c>
      <c r="H7" s="249">
        <v>267</v>
      </c>
      <c r="I7" s="248" t="s">
        <v>236</v>
      </c>
      <c r="J7" s="200">
        <v>254</v>
      </c>
      <c r="K7" s="1035">
        <v>339.9</v>
      </c>
      <c r="L7" s="1035">
        <v>400.7</v>
      </c>
      <c r="M7" s="1035">
        <v>208.6</v>
      </c>
      <c r="N7" s="1035">
        <v>115.9</v>
      </c>
      <c r="O7" s="1035">
        <v>74.135921777308837</v>
      </c>
      <c r="P7" s="1049">
        <v>63.8</v>
      </c>
      <c r="Q7" s="1049">
        <v>77.900000000000006</v>
      </c>
      <c r="R7" s="1049">
        <v>65.8</v>
      </c>
      <c r="S7" s="1049">
        <v>40.6</v>
      </c>
      <c r="T7" s="1049">
        <v>0</v>
      </c>
      <c r="U7" s="1049">
        <v>0</v>
      </c>
      <c r="V7" s="1049">
        <v>0</v>
      </c>
      <c r="W7" s="1049">
        <v>0</v>
      </c>
      <c r="X7" s="1049">
        <v>0</v>
      </c>
      <c r="Y7" s="1049">
        <v>0</v>
      </c>
      <c r="Z7" s="1050">
        <v>0</v>
      </c>
    </row>
    <row r="8" spans="1:26" ht="18.75">
      <c r="A8" s="180"/>
      <c r="B8" s="175" t="s">
        <v>246</v>
      </c>
      <c r="C8" s="208">
        <v>0</v>
      </c>
      <c r="D8" s="239" t="s">
        <v>236</v>
      </c>
      <c r="E8" s="247" t="s">
        <v>236</v>
      </c>
      <c r="F8" s="238">
        <v>23</v>
      </c>
      <c r="G8" s="238">
        <v>12</v>
      </c>
      <c r="H8" s="238">
        <v>53</v>
      </c>
      <c r="I8" s="194" t="s">
        <v>236</v>
      </c>
      <c r="J8" s="177">
        <v>27.286802999999999</v>
      </c>
      <c r="K8" s="1035">
        <v>0</v>
      </c>
      <c r="L8" s="1035">
        <v>0</v>
      </c>
      <c r="M8" s="1035">
        <v>0</v>
      </c>
      <c r="N8" s="1035">
        <v>0</v>
      </c>
      <c r="O8" s="1035">
        <v>0</v>
      </c>
      <c r="P8" s="1035">
        <v>0</v>
      </c>
      <c r="Q8" s="1035">
        <v>0</v>
      </c>
      <c r="R8" s="1035">
        <v>0</v>
      </c>
      <c r="S8" s="1035">
        <v>0</v>
      </c>
      <c r="T8" s="1035">
        <v>0</v>
      </c>
      <c r="U8" s="1035">
        <v>0</v>
      </c>
      <c r="V8" s="1035">
        <v>0</v>
      </c>
      <c r="W8" s="1035">
        <v>0</v>
      </c>
      <c r="X8" s="1035">
        <v>0</v>
      </c>
      <c r="Y8" s="1035">
        <v>0</v>
      </c>
      <c r="Z8" s="1036">
        <v>0</v>
      </c>
    </row>
    <row r="9" spans="1:26">
      <c r="A9" s="180"/>
      <c r="B9" s="209" t="s">
        <v>245</v>
      </c>
      <c r="C9" s="236">
        <v>55</v>
      </c>
      <c r="D9" s="209">
        <v>54</v>
      </c>
      <c r="E9" s="235" t="s">
        <v>236</v>
      </c>
      <c r="F9" s="209">
        <v>246</v>
      </c>
      <c r="G9" s="209">
        <v>412</v>
      </c>
      <c r="H9" s="209">
        <v>320</v>
      </c>
      <c r="I9" s="234">
        <v>261</v>
      </c>
      <c r="J9" s="191">
        <f>SUM(J7:J8)</f>
        <v>281.28680300000002</v>
      </c>
      <c r="K9" s="1078">
        <f>SUM(K7:K8)</f>
        <v>339.9</v>
      </c>
      <c r="L9" s="1078">
        <f t="shared" ref="L9:Z9" si="0">SUM(L7:L8)</f>
        <v>400.7</v>
      </c>
      <c r="M9" s="1078">
        <f t="shared" si="0"/>
        <v>208.6</v>
      </c>
      <c r="N9" s="1078">
        <f t="shared" si="0"/>
        <v>115.9</v>
      </c>
      <c r="O9" s="1078">
        <f t="shared" si="0"/>
        <v>74.135921777308837</v>
      </c>
      <c r="P9" s="1078">
        <f t="shared" si="0"/>
        <v>63.8</v>
      </c>
      <c r="Q9" s="1078">
        <f t="shared" si="0"/>
        <v>77.900000000000006</v>
      </c>
      <c r="R9" s="1078">
        <f t="shared" si="0"/>
        <v>65.8</v>
      </c>
      <c r="S9" s="1078">
        <f t="shared" si="0"/>
        <v>40.6</v>
      </c>
      <c r="T9" s="1078">
        <f t="shared" si="0"/>
        <v>0</v>
      </c>
      <c r="U9" s="1078">
        <f t="shared" si="0"/>
        <v>0</v>
      </c>
      <c r="V9" s="1078">
        <f t="shared" si="0"/>
        <v>0</v>
      </c>
      <c r="W9" s="1078">
        <f t="shared" si="0"/>
        <v>0</v>
      </c>
      <c r="X9" s="1078">
        <f t="shared" si="0"/>
        <v>0</v>
      </c>
      <c r="Y9" s="1078">
        <f t="shared" si="0"/>
        <v>0</v>
      </c>
      <c r="Z9" s="1079">
        <f t="shared" si="0"/>
        <v>0</v>
      </c>
    </row>
    <row r="10" spans="1:26">
      <c r="A10" s="180"/>
      <c r="B10" s="175"/>
      <c r="C10" s="208"/>
      <c r="D10" s="175"/>
      <c r="E10" s="175"/>
      <c r="F10" s="175"/>
      <c r="G10" s="175"/>
      <c r="H10" s="175"/>
      <c r="I10" s="207"/>
      <c r="J10" s="177"/>
      <c r="K10" s="1035"/>
      <c r="L10" s="1035"/>
      <c r="M10" s="1035"/>
      <c r="N10" s="1035"/>
      <c r="O10" s="1035"/>
      <c r="P10" s="1035"/>
      <c r="Q10" s="1035"/>
      <c r="R10" s="1035"/>
      <c r="S10" s="1035"/>
      <c r="T10" s="1035"/>
      <c r="U10" s="1035"/>
      <c r="V10" s="1035"/>
      <c r="W10" s="1035"/>
      <c r="X10" s="1035"/>
      <c r="Y10" s="1035"/>
      <c r="Z10" s="1036"/>
    </row>
    <row r="11" spans="1:26" ht="15.75">
      <c r="A11" s="208"/>
      <c r="B11" s="205" t="s">
        <v>244</v>
      </c>
      <c r="C11" s="206"/>
      <c r="D11" s="205"/>
      <c r="E11" s="205"/>
      <c r="F11" s="205"/>
      <c r="G11" s="205"/>
      <c r="H11" s="205"/>
      <c r="I11" s="204"/>
      <c r="J11" s="177"/>
      <c r="K11" s="1035"/>
      <c r="L11" s="1035"/>
      <c r="M11" s="1035"/>
      <c r="N11" s="1035"/>
      <c r="O11" s="1035"/>
      <c r="P11" s="1035"/>
      <c r="Q11" s="1035"/>
      <c r="R11" s="1035"/>
      <c r="S11" s="1035"/>
      <c r="T11" s="1035"/>
      <c r="U11" s="1035"/>
      <c r="V11" s="1035"/>
      <c r="W11" s="1035"/>
      <c r="X11" s="1035"/>
      <c r="Y11" s="1035"/>
      <c r="Z11" s="1036"/>
    </row>
    <row r="12" spans="1:26" ht="39">
      <c r="A12" s="208"/>
      <c r="B12" s="246" t="s">
        <v>243</v>
      </c>
      <c r="C12" s="245">
        <v>0</v>
      </c>
      <c r="D12" s="242">
        <v>0</v>
      </c>
      <c r="E12" s="244" t="s">
        <v>236</v>
      </c>
      <c r="F12" s="244" t="s">
        <v>236</v>
      </c>
      <c r="G12" s="243" t="s">
        <v>236</v>
      </c>
      <c r="H12" s="242">
        <v>29</v>
      </c>
      <c r="I12" s="241">
        <v>104</v>
      </c>
      <c r="J12" s="240" t="s">
        <v>236</v>
      </c>
      <c r="K12" s="1035">
        <f>165.4804+69.71743+20</f>
        <v>255.19783000000001</v>
      </c>
      <c r="L12" s="1035">
        <f>131.81+60.2091+25</f>
        <v>217.01910000000001</v>
      </c>
      <c r="M12" s="1035">
        <f>109.01+26.5249+50</f>
        <v>185.53489999999999</v>
      </c>
      <c r="N12" s="1037">
        <f>105.56+28.3577+25</f>
        <v>158.9177</v>
      </c>
      <c r="O12" s="1037">
        <f>95.96+19.0492+25</f>
        <v>140.00919999999999</v>
      </c>
      <c r="P12" s="1037">
        <f>88.46+8.3632+75</f>
        <v>171.82319999999999</v>
      </c>
      <c r="Q12" s="1037">
        <f>71.96+0+100</f>
        <v>171.95999999999998</v>
      </c>
      <c r="R12" s="1037">
        <f>71.96+0+125</f>
        <v>196.95999999999998</v>
      </c>
      <c r="S12" s="1037">
        <f>71.96+0+150</f>
        <v>221.95999999999998</v>
      </c>
      <c r="T12" s="1037">
        <f>70.9608+0+200</f>
        <v>270.96080000000001</v>
      </c>
      <c r="U12" s="1037">
        <f>70.9608+0+200</f>
        <v>270.96080000000001</v>
      </c>
      <c r="V12" s="1037">
        <f>69.6589+0+275</f>
        <v>344.65890000000002</v>
      </c>
      <c r="W12" s="1037">
        <f>68.9643+0+275</f>
        <v>343.96429999999998</v>
      </c>
      <c r="X12" s="1037">
        <f>68.2129+0+275</f>
        <v>343.21289999999999</v>
      </c>
      <c r="Y12" s="1037">
        <f>67.6297+0+275</f>
        <v>342.62970000000001</v>
      </c>
      <c r="Z12" s="1038">
        <f>66.9846+0+275</f>
        <v>341.9846</v>
      </c>
    </row>
    <row r="13" spans="1:26" ht="18.75">
      <c r="A13" s="180"/>
      <c r="B13" s="175" t="s">
        <v>246</v>
      </c>
      <c r="C13" s="208">
        <v>0</v>
      </c>
      <c r="D13" s="175">
        <v>0</v>
      </c>
      <c r="E13" s="239" t="s">
        <v>236</v>
      </c>
      <c r="F13" s="239" t="s">
        <v>236</v>
      </c>
      <c r="G13" s="239" t="s">
        <v>236</v>
      </c>
      <c r="H13" s="238">
        <v>4</v>
      </c>
      <c r="I13" s="207">
        <v>4</v>
      </c>
      <c r="J13" s="240" t="s">
        <v>236</v>
      </c>
      <c r="K13" s="1035">
        <v>26.25</v>
      </c>
      <c r="L13" s="1035">
        <v>26.25</v>
      </c>
      <c r="M13" s="1035">
        <v>9.7875000000000014</v>
      </c>
      <c r="N13" s="1035">
        <v>7.6673399999999994</v>
      </c>
      <c r="O13" s="1035">
        <v>6.0064477499999995</v>
      </c>
      <c r="P13" s="1035">
        <v>4.7053000000000003</v>
      </c>
      <c r="Q13" s="1035">
        <v>3.6861000000000002</v>
      </c>
      <c r="R13" s="1035">
        <v>2.8875999999999999</v>
      </c>
      <c r="S13" s="1035">
        <v>2.2621000000000002</v>
      </c>
      <c r="T13" s="1035">
        <v>1.7721</v>
      </c>
      <c r="U13" s="1035">
        <v>1.3882000000000001</v>
      </c>
      <c r="V13" s="1035">
        <v>1.0874999999999999</v>
      </c>
      <c r="W13" s="1035">
        <v>0.85192575000000004</v>
      </c>
      <c r="X13" s="1035">
        <v>0.66738824999999991</v>
      </c>
      <c r="Y13" s="1035">
        <v>0.52281600000000006</v>
      </c>
      <c r="Z13" s="1036">
        <v>0.40956375</v>
      </c>
    </row>
    <row r="14" spans="1:26" ht="18.75">
      <c r="A14" s="180"/>
      <c r="B14" s="199" t="s">
        <v>254</v>
      </c>
      <c r="C14" s="208">
        <v>0</v>
      </c>
      <c r="D14" s="175">
        <v>0</v>
      </c>
      <c r="E14" s="239">
        <v>0</v>
      </c>
      <c r="F14" s="238">
        <v>0</v>
      </c>
      <c r="G14" s="238">
        <v>0</v>
      </c>
      <c r="H14" s="238">
        <v>0</v>
      </c>
      <c r="I14" s="207">
        <v>0</v>
      </c>
      <c r="J14" s="237" t="s">
        <v>236</v>
      </c>
      <c r="K14" s="1035">
        <f>0</f>
        <v>0</v>
      </c>
      <c r="L14" s="1035">
        <f>15+30</f>
        <v>45</v>
      </c>
      <c r="M14" s="1035">
        <v>30</v>
      </c>
      <c r="N14" s="1035">
        <v>30</v>
      </c>
      <c r="O14" s="1035">
        <v>30</v>
      </c>
      <c r="P14" s="1035">
        <v>30</v>
      </c>
      <c r="Q14" s="1035">
        <v>0</v>
      </c>
      <c r="R14" s="1035">
        <v>0</v>
      </c>
      <c r="S14" s="1035">
        <v>0</v>
      </c>
      <c r="T14" s="1035">
        <v>0</v>
      </c>
      <c r="U14" s="1035">
        <v>0</v>
      </c>
      <c r="V14" s="1035">
        <v>0</v>
      </c>
      <c r="W14" s="1035">
        <v>0</v>
      </c>
      <c r="X14" s="1035">
        <v>0</v>
      </c>
      <c r="Y14" s="1035">
        <v>0</v>
      </c>
      <c r="Z14" s="1036">
        <v>0</v>
      </c>
    </row>
    <row r="15" spans="1:26">
      <c r="A15" s="180"/>
      <c r="B15" s="209" t="s">
        <v>253</v>
      </c>
      <c r="C15" s="236">
        <v>0</v>
      </c>
      <c r="D15" s="209">
        <v>0</v>
      </c>
      <c r="E15" s="235" t="s">
        <v>236</v>
      </c>
      <c r="F15" s="209">
        <v>5</v>
      </c>
      <c r="G15" s="209">
        <v>38</v>
      </c>
      <c r="H15" s="209">
        <v>33</v>
      </c>
      <c r="I15" s="234">
        <v>108</v>
      </c>
      <c r="J15" s="191">
        <v>312</v>
      </c>
      <c r="K15" s="1078">
        <f>SUM(K12:K14)</f>
        <v>281.44783000000001</v>
      </c>
      <c r="L15" s="1078">
        <f t="shared" ref="L15:Z15" si="1">SUM(L12:L14)</f>
        <v>288.26909999999998</v>
      </c>
      <c r="M15" s="1078">
        <f t="shared" si="1"/>
        <v>225.32239999999999</v>
      </c>
      <c r="N15" s="1078">
        <f t="shared" si="1"/>
        <v>196.58503999999999</v>
      </c>
      <c r="O15" s="1078">
        <f t="shared" si="1"/>
        <v>176.01564775</v>
      </c>
      <c r="P15" s="1078">
        <f t="shared" si="1"/>
        <v>206.52849999999998</v>
      </c>
      <c r="Q15" s="1078">
        <f t="shared" si="1"/>
        <v>175.64609999999999</v>
      </c>
      <c r="R15" s="1078">
        <f t="shared" si="1"/>
        <v>199.84759999999997</v>
      </c>
      <c r="S15" s="1078">
        <f t="shared" si="1"/>
        <v>224.22209999999998</v>
      </c>
      <c r="T15" s="1078">
        <f t="shared" si="1"/>
        <v>272.73290000000003</v>
      </c>
      <c r="U15" s="1078">
        <f t="shared" si="1"/>
        <v>272.34899999999999</v>
      </c>
      <c r="V15" s="1078">
        <f t="shared" si="1"/>
        <v>345.74639999999999</v>
      </c>
      <c r="W15" s="1078">
        <f t="shared" si="1"/>
        <v>344.81622575</v>
      </c>
      <c r="X15" s="1078">
        <f t="shared" si="1"/>
        <v>343.88028824999998</v>
      </c>
      <c r="Y15" s="1078">
        <f t="shared" si="1"/>
        <v>343.15251599999999</v>
      </c>
      <c r="Z15" s="1079">
        <f t="shared" si="1"/>
        <v>342.39416375000002</v>
      </c>
    </row>
    <row r="16" spans="1:26">
      <c r="A16" s="180"/>
      <c r="B16" s="199"/>
      <c r="C16" s="208"/>
      <c r="D16" s="175"/>
      <c r="E16" s="175"/>
      <c r="F16" s="175"/>
      <c r="G16" s="175"/>
      <c r="H16" s="175"/>
      <c r="I16" s="207"/>
      <c r="J16" s="177"/>
      <c r="K16" s="1035"/>
      <c r="L16" s="1035"/>
      <c r="M16" s="1035"/>
      <c r="N16" s="1035"/>
      <c r="O16" s="1035"/>
      <c r="P16" s="1035"/>
      <c r="Q16" s="1035"/>
      <c r="R16" s="1035"/>
      <c r="S16" s="1035"/>
      <c r="T16" s="1035"/>
      <c r="U16" s="1035"/>
      <c r="V16" s="1035"/>
      <c r="W16" s="1035"/>
      <c r="X16" s="1035"/>
      <c r="Y16" s="1035"/>
      <c r="Z16" s="1036"/>
    </row>
    <row r="17" spans="1:30" ht="15.75" thickBot="1">
      <c r="A17" s="185" t="s">
        <v>252</v>
      </c>
      <c r="B17" s="254"/>
      <c r="C17" s="185">
        <v>55</v>
      </c>
      <c r="D17" s="184">
        <v>54</v>
      </c>
      <c r="E17" s="184">
        <v>193</v>
      </c>
      <c r="F17" s="184">
        <v>250</v>
      </c>
      <c r="G17" s="184">
        <v>450</v>
      </c>
      <c r="H17" s="184">
        <v>353</v>
      </c>
      <c r="I17" s="233">
        <v>369</v>
      </c>
      <c r="J17" s="182">
        <f>SUM(J9+J15)</f>
        <v>593.28680299999996</v>
      </c>
      <c r="K17" s="1039">
        <f>CEILING(SUM(K9+K15),25)</f>
        <v>625</v>
      </c>
      <c r="L17" s="1039">
        <f t="shared" ref="L17:Z17" si="2">CEILING(SUM(L9+L15),25)</f>
        <v>700</v>
      </c>
      <c r="M17" s="1039">
        <f t="shared" si="2"/>
        <v>450</v>
      </c>
      <c r="N17" s="1039">
        <f t="shared" si="2"/>
        <v>325</v>
      </c>
      <c r="O17" s="1039">
        <f>CEILING(SUM(O9+O15),25)</f>
        <v>275</v>
      </c>
      <c r="P17" s="1039">
        <f t="shared" si="2"/>
        <v>275</v>
      </c>
      <c r="Q17" s="1039">
        <f t="shared" si="2"/>
        <v>275</v>
      </c>
      <c r="R17" s="1039">
        <f t="shared" si="2"/>
        <v>275</v>
      </c>
      <c r="S17" s="1039">
        <f t="shared" si="2"/>
        <v>275</v>
      </c>
      <c r="T17" s="1039">
        <f t="shared" si="2"/>
        <v>275</v>
      </c>
      <c r="U17" s="1039">
        <f t="shared" si="2"/>
        <v>275</v>
      </c>
      <c r="V17" s="1039">
        <f t="shared" si="2"/>
        <v>350</v>
      </c>
      <c r="W17" s="1039">
        <f t="shared" si="2"/>
        <v>350</v>
      </c>
      <c r="X17" s="1039">
        <f t="shared" si="2"/>
        <v>350</v>
      </c>
      <c r="Y17" s="1039">
        <f t="shared" si="2"/>
        <v>350</v>
      </c>
      <c r="Z17" s="1040">
        <f t="shared" si="2"/>
        <v>350</v>
      </c>
    </row>
    <row r="18" spans="1:30" ht="15.75" thickTop="1">
      <c r="A18" s="180"/>
      <c r="B18" s="158"/>
      <c r="C18" s="180"/>
      <c r="D18" s="158"/>
      <c r="E18" s="158"/>
      <c r="F18" s="158"/>
      <c r="G18" s="158"/>
      <c r="H18" s="158"/>
      <c r="I18" s="232"/>
      <c r="J18" s="231"/>
      <c r="K18" s="141"/>
      <c r="L18" s="141"/>
      <c r="M18" s="141"/>
      <c r="N18" s="141"/>
      <c r="O18" s="141"/>
      <c r="P18" s="141"/>
      <c r="Q18" s="141"/>
      <c r="R18" s="141"/>
      <c r="S18" s="141"/>
      <c r="T18" s="141"/>
      <c r="U18" s="141"/>
      <c r="V18" s="141"/>
      <c r="W18" s="141"/>
      <c r="X18" s="141"/>
      <c r="Y18" s="141"/>
      <c r="Z18" s="1041"/>
    </row>
    <row r="19" spans="1:30">
      <c r="A19" s="180"/>
      <c r="B19" s="199"/>
      <c r="C19" s="208"/>
      <c r="D19" s="175"/>
      <c r="E19" s="175"/>
      <c r="F19" s="175"/>
      <c r="G19" s="175"/>
      <c r="H19" s="175"/>
      <c r="I19" s="207"/>
      <c r="J19" s="177"/>
      <c r="K19" s="1035"/>
      <c r="L19" s="1035"/>
      <c r="M19" s="1035"/>
      <c r="N19" s="1035"/>
      <c r="O19" s="1035"/>
      <c r="P19" s="1035"/>
      <c r="Q19" s="1035"/>
      <c r="R19" s="1035"/>
      <c r="S19" s="1035"/>
      <c r="T19" s="1035"/>
      <c r="U19" s="1035"/>
      <c r="V19" s="1035"/>
      <c r="W19" s="1035"/>
      <c r="X19" s="1035"/>
      <c r="Y19" s="1035"/>
      <c r="Z19" s="1036"/>
    </row>
    <row r="20" spans="1:30" ht="18.75">
      <c r="A20" s="230" t="s">
        <v>251</v>
      </c>
      <c r="B20" s="254"/>
      <c r="C20" s="229"/>
      <c r="D20" s="227"/>
      <c r="E20" s="227"/>
      <c r="F20" s="227"/>
      <c r="G20" s="227"/>
      <c r="H20" s="227"/>
      <c r="I20" s="226"/>
      <c r="J20" s="228"/>
      <c r="K20" s="1042"/>
      <c r="L20" s="1042"/>
      <c r="M20" s="1042"/>
      <c r="N20" s="1042"/>
      <c r="O20" s="1042"/>
      <c r="P20" s="1042"/>
      <c r="Q20" s="1042"/>
      <c r="R20" s="1042"/>
      <c r="S20" s="1042"/>
      <c r="T20" s="1042"/>
      <c r="U20" s="1042"/>
      <c r="V20" s="1042"/>
      <c r="W20" s="1042"/>
      <c r="X20" s="1042"/>
      <c r="Y20" s="1042"/>
      <c r="Z20" s="1043"/>
    </row>
    <row r="21" spans="1:30" ht="15.75">
      <c r="A21" s="225"/>
      <c r="B21" s="223" t="s">
        <v>250</v>
      </c>
      <c r="C21" s="224"/>
      <c r="D21" s="223"/>
      <c r="E21" s="223"/>
      <c r="F21" s="223"/>
      <c r="G21" s="223"/>
      <c r="H21" s="223"/>
      <c r="I21" s="222"/>
      <c r="J21" s="221"/>
      <c r="K21" s="1044"/>
      <c r="L21" s="1044"/>
      <c r="M21" s="1044"/>
      <c r="N21" s="1044"/>
      <c r="O21" s="1044"/>
      <c r="P21" s="1044"/>
      <c r="Q21" s="1044"/>
      <c r="R21" s="1044"/>
      <c r="S21" s="1044"/>
      <c r="T21" s="1044"/>
      <c r="U21" s="1044"/>
      <c r="V21" s="1044"/>
      <c r="W21" s="1044"/>
      <c r="X21" s="1044"/>
      <c r="Y21" s="1044"/>
      <c r="Z21" s="1045"/>
    </row>
    <row r="22" spans="1:30" ht="25.5">
      <c r="A22" s="180"/>
      <c r="B22" s="203" t="s">
        <v>249</v>
      </c>
      <c r="C22" s="218">
        <v>292.16963066666693</v>
      </c>
      <c r="D22" s="178">
        <v>218.66158949999999</v>
      </c>
      <c r="E22" s="178">
        <v>278.954033460142</v>
      </c>
      <c r="F22" s="178">
        <v>338.92317667208602</v>
      </c>
      <c r="G22" s="178">
        <v>312.57556243024999</v>
      </c>
      <c r="H22" s="178">
        <v>273.99762949999996</v>
      </c>
      <c r="I22" s="178">
        <v>453.19820449999997</v>
      </c>
      <c r="J22" s="177">
        <v>331.9</v>
      </c>
      <c r="K22" s="1035">
        <v>0</v>
      </c>
      <c r="L22" s="1035">
        <v>0</v>
      </c>
      <c r="M22" s="1035">
        <v>0</v>
      </c>
      <c r="N22" s="1035">
        <v>0</v>
      </c>
      <c r="O22" s="1035">
        <v>0</v>
      </c>
      <c r="P22" s="1035">
        <v>0</v>
      </c>
      <c r="Q22" s="1035">
        <v>0</v>
      </c>
      <c r="R22" s="1035">
        <v>0</v>
      </c>
      <c r="S22" s="1035">
        <v>0</v>
      </c>
      <c r="T22" s="1035">
        <v>0</v>
      </c>
      <c r="U22" s="1035">
        <v>0</v>
      </c>
      <c r="V22" s="1035">
        <v>0</v>
      </c>
      <c r="W22" s="1035">
        <v>0</v>
      </c>
      <c r="X22" s="1035">
        <v>0</v>
      </c>
      <c r="Y22" s="1035">
        <v>0</v>
      </c>
      <c r="Z22" s="1036">
        <v>0</v>
      </c>
    </row>
    <row r="23" spans="1:30" ht="18.75">
      <c r="A23" s="180"/>
      <c r="B23" s="203" t="s">
        <v>248</v>
      </c>
      <c r="C23" s="217">
        <v>171.05460795275201</v>
      </c>
      <c r="D23" s="178">
        <v>73.370767286085197</v>
      </c>
      <c r="E23" s="170">
        <v>0</v>
      </c>
      <c r="F23" s="178">
        <v>0</v>
      </c>
      <c r="G23" s="178">
        <v>0</v>
      </c>
      <c r="H23" s="178" t="s">
        <v>236</v>
      </c>
      <c r="I23" s="178" t="s">
        <v>236</v>
      </c>
      <c r="J23" s="216"/>
      <c r="K23" s="1046"/>
      <c r="L23" s="1046"/>
      <c r="M23" s="1046"/>
      <c r="N23" s="1046"/>
      <c r="O23" s="1046"/>
      <c r="P23" s="1046"/>
      <c r="Q23" s="1046"/>
      <c r="R23" s="1046"/>
      <c r="S23" s="1046"/>
      <c r="T23" s="1046"/>
      <c r="U23" s="1046"/>
      <c r="V23" s="1046"/>
      <c r="W23" s="1046"/>
      <c r="X23" s="1046"/>
      <c r="Y23" s="1046"/>
      <c r="Z23" s="1047"/>
    </row>
    <row r="24" spans="1:30" ht="18.75">
      <c r="A24" s="180"/>
      <c r="B24" s="175" t="s">
        <v>247</v>
      </c>
      <c r="C24" s="215"/>
      <c r="D24" s="213"/>
      <c r="E24" s="214"/>
      <c r="F24" s="213"/>
      <c r="G24" s="213"/>
      <c r="H24" s="213"/>
      <c r="I24" s="213"/>
      <c r="J24" s="177">
        <v>492</v>
      </c>
      <c r="K24" s="1035">
        <f>473.4+26.2</f>
        <v>499.59999999999997</v>
      </c>
      <c r="L24" s="1035">
        <f>504.4+8.8</f>
        <v>513.19999999999993</v>
      </c>
      <c r="M24" s="1035">
        <f>1197.7+59.9</f>
        <v>1257.6000000000001</v>
      </c>
      <c r="N24" s="1035">
        <f>1142.6+68.2</f>
        <v>1210.8</v>
      </c>
      <c r="O24" s="1035">
        <f>940+59.2</f>
        <v>999.2</v>
      </c>
      <c r="P24" s="1035">
        <f>755.6+65.5</f>
        <v>821.1</v>
      </c>
      <c r="Q24" s="1037">
        <f>586.6+60</f>
        <v>646.6</v>
      </c>
      <c r="R24" s="1035">
        <f>544.4+46.4</f>
        <v>590.79999999999995</v>
      </c>
      <c r="S24" s="1035">
        <f>501.6+43.6</f>
        <v>545.20000000000005</v>
      </c>
      <c r="T24" s="1035">
        <f>437.2+46.1</f>
        <v>483.3</v>
      </c>
      <c r="U24" s="1035">
        <f>334.3+42.7</f>
        <v>377</v>
      </c>
      <c r="V24" s="1035">
        <f>301.4+36.8</f>
        <v>338.2</v>
      </c>
      <c r="W24" s="1035">
        <f>275+32</f>
        <v>307</v>
      </c>
      <c r="X24" s="1035">
        <f>253+27.8</f>
        <v>280.8</v>
      </c>
      <c r="Y24" s="1035">
        <f>231.4+24.1</f>
        <v>255.5</v>
      </c>
      <c r="Z24" s="1036">
        <f>213+21.2</f>
        <v>234.2</v>
      </c>
      <c r="AA24" s="164"/>
      <c r="AB24" s="164"/>
      <c r="AC24" s="164"/>
      <c r="AD24" s="164"/>
    </row>
    <row r="25" spans="1:30">
      <c r="A25" s="180"/>
      <c r="B25" s="175" t="s">
        <v>242</v>
      </c>
      <c r="C25" s="198" t="s">
        <v>236</v>
      </c>
      <c r="D25" s="212" t="s">
        <v>236</v>
      </c>
      <c r="E25" s="211">
        <v>21.117073747831213</v>
      </c>
      <c r="F25" s="212" t="s">
        <v>236</v>
      </c>
      <c r="G25" s="212" t="s">
        <v>236</v>
      </c>
      <c r="H25" s="212" t="s">
        <v>236</v>
      </c>
      <c r="I25" s="212" t="s">
        <v>236</v>
      </c>
      <c r="J25" s="177">
        <v>44</v>
      </c>
      <c r="K25" s="1035">
        <v>49.5</v>
      </c>
      <c r="L25" s="1035">
        <v>59.9</v>
      </c>
      <c r="M25" s="1035">
        <v>58.5</v>
      </c>
      <c r="N25" s="1035">
        <v>48</v>
      </c>
      <c r="O25" s="1035">
        <v>46.6</v>
      </c>
      <c r="P25" s="1035">
        <v>43.4</v>
      </c>
      <c r="Q25" s="1035">
        <v>37.299999999999997</v>
      </c>
      <c r="R25" s="1035">
        <v>30.9</v>
      </c>
      <c r="S25" s="1035">
        <v>24.6</v>
      </c>
      <c r="T25" s="1035">
        <v>13</v>
      </c>
      <c r="U25" s="1035">
        <v>0</v>
      </c>
      <c r="V25" s="1035">
        <v>0</v>
      </c>
      <c r="W25" s="1035">
        <v>0</v>
      </c>
      <c r="X25" s="1035">
        <v>0</v>
      </c>
      <c r="Y25" s="1035">
        <v>0</v>
      </c>
      <c r="Z25" s="1036">
        <v>0</v>
      </c>
    </row>
    <row r="26" spans="1:30" ht="18.75">
      <c r="A26" s="180"/>
      <c r="B26" s="175" t="s">
        <v>246</v>
      </c>
      <c r="C26" s="198" t="s">
        <v>236</v>
      </c>
      <c r="D26" s="212" t="s">
        <v>236</v>
      </c>
      <c r="E26" s="211">
        <v>27.553161818099998</v>
      </c>
      <c r="F26" s="210" t="s">
        <v>236</v>
      </c>
      <c r="G26" s="210" t="s">
        <v>236</v>
      </c>
      <c r="H26" s="210" t="s">
        <v>236</v>
      </c>
      <c r="I26" s="210" t="s">
        <v>236</v>
      </c>
      <c r="J26" s="177">
        <v>3.2</v>
      </c>
      <c r="K26" s="1048">
        <v>0</v>
      </c>
      <c r="L26" s="1048">
        <v>0</v>
      </c>
      <c r="M26" s="1048">
        <v>0</v>
      </c>
      <c r="N26" s="1048">
        <v>0</v>
      </c>
      <c r="O26" s="141">
        <v>0</v>
      </c>
      <c r="P26" s="1048">
        <v>0</v>
      </c>
      <c r="Q26" s="1048">
        <v>0</v>
      </c>
      <c r="R26" s="1048">
        <v>0</v>
      </c>
      <c r="S26" s="1048">
        <v>0</v>
      </c>
      <c r="T26" s="1048">
        <v>0</v>
      </c>
      <c r="U26" s="1048">
        <v>0</v>
      </c>
      <c r="V26" s="1048">
        <v>0</v>
      </c>
      <c r="W26" s="1048">
        <v>0</v>
      </c>
      <c r="X26" s="1048">
        <v>0</v>
      </c>
      <c r="Y26" s="1048">
        <v>0</v>
      </c>
      <c r="Z26" s="1077">
        <v>0</v>
      </c>
    </row>
    <row r="27" spans="1:30">
      <c r="A27" s="180"/>
      <c r="B27" s="209" t="s">
        <v>245</v>
      </c>
      <c r="C27" s="192">
        <v>541.2581419194189</v>
      </c>
      <c r="D27" s="190">
        <v>368.35559628608513</v>
      </c>
      <c r="E27" s="190">
        <v>327.52426902607328</v>
      </c>
      <c r="F27" s="190">
        <v>401.59244223801721</v>
      </c>
      <c r="G27" s="190">
        <v>344.70491643025002</v>
      </c>
      <c r="H27" s="190">
        <v>347.43913150000003</v>
      </c>
      <c r="I27" s="189">
        <v>535.63711650000005</v>
      </c>
      <c r="J27" s="1053">
        <v>870</v>
      </c>
      <c r="K27" s="1078">
        <f>SUM(K22:K25)</f>
        <v>549.09999999999991</v>
      </c>
      <c r="L27" s="1078">
        <f t="shared" ref="L27:Z27" si="3">SUM(L22:L25)</f>
        <v>573.09999999999991</v>
      </c>
      <c r="M27" s="1078">
        <f t="shared" si="3"/>
        <v>1316.1000000000001</v>
      </c>
      <c r="N27" s="1078">
        <f t="shared" si="3"/>
        <v>1258.8</v>
      </c>
      <c r="O27" s="1078">
        <f t="shared" si="3"/>
        <v>1045.8</v>
      </c>
      <c r="P27" s="1078">
        <f t="shared" si="3"/>
        <v>864.5</v>
      </c>
      <c r="Q27" s="1078">
        <f t="shared" si="3"/>
        <v>683.9</v>
      </c>
      <c r="R27" s="1078">
        <f t="shared" si="3"/>
        <v>621.69999999999993</v>
      </c>
      <c r="S27" s="1078">
        <f t="shared" si="3"/>
        <v>569.80000000000007</v>
      </c>
      <c r="T27" s="1078">
        <f t="shared" si="3"/>
        <v>496.3</v>
      </c>
      <c r="U27" s="1078">
        <f t="shared" si="3"/>
        <v>377</v>
      </c>
      <c r="V27" s="1078">
        <f t="shared" si="3"/>
        <v>338.2</v>
      </c>
      <c r="W27" s="1078">
        <f t="shared" si="3"/>
        <v>307</v>
      </c>
      <c r="X27" s="1078">
        <f t="shared" si="3"/>
        <v>280.8</v>
      </c>
      <c r="Y27" s="1078">
        <f t="shared" si="3"/>
        <v>255.5</v>
      </c>
      <c r="Z27" s="1079">
        <f t="shared" si="3"/>
        <v>234.2</v>
      </c>
    </row>
    <row r="28" spans="1:30">
      <c r="A28" s="180"/>
      <c r="B28" s="175"/>
      <c r="C28" s="208"/>
      <c r="D28" s="175"/>
      <c r="E28" s="175"/>
      <c r="F28" s="175"/>
      <c r="G28" s="175"/>
      <c r="H28" s="175"/>
      <c r="I28" s="207"/>
      <c r="J28" s="177"/>
      <c r="K28" s="1035"/>
      <c r="L28" s="1035"/>
      <c r="M28" s="1035"/>
      <c r="N28" s="1035"/>
      <c r="O28" s="1035"/>
      <c r="P28" s="1035"/>
      <c r="Q28" s="1035"/>
      <c r="R28" s="1035"/>
      <c r="S28" s="1035"/>
      <c r="T28" s="1035"/>
      <c r="U28" s="1035"/>
      <c r="V28" s="1035"/>
      <c r="W28" s="1035"/>
      <c r="X28" s="1035"/>
      <c r="Y28" s="1035"/>
      <c r="Z28" s="1036"/>
    </row>
    <row r="29" spans="1:30" ht="15.75">
      <c r="A29" s="180"/>
      <c r="B29" s="205" t="s">
        <v>244</v>
      </c>
      <c r="C29" s="206"/>
      <c r="D29" s="205"/>
      <c r="E29" s="205"/>
      <c r="F29" s="205"/>
      <c r="G29" s="205"/>
      <c r="H29" s="205"/>
      <c r="I29" s="204"/>
      <c r="J29" s="177"/>
      <c r="K29" s="1035"/>
      <c r="L29" s="1035"/>
      <c r="M29" s="1035"/>
      <c r="N29" s="1035"/>
      <c r="O29" s="1035"/>
      <c r="P29" s="1035"/>
      <c r="Q29" s="1035"/>
      <c r="R29" s="1035"/>
      <c r="S29" s="1035"/>
      <c r="T29" s="1035"/>
      <c r="U29" s="1035"/>
      <c r="V29" s="1035"/>
      <c r="W29" s="1035"/>
      <c r="X29" s="1035"/>
      <c r="Y29" s="1035"/>
      <c r="Z29" s="1036"/>
    </row>
    <row r="30" spans="1:30" ht="38.25">
      <c r="A30" s="180"/>
      <c r="B30" s="203" t="s">
        <v>243</v>
      </c>
      <c r="C30" s="202" t="s">
        <v>236</v>
      </c>
      <c r="D30" s="197" t="s">
        <v>236</v>
      </c>
      <c r="E30" s="196">
        <v>0</v>
      </c>
      <c r="F30" s="195" t="s">
        <v>236</v>
      </c>
      <c r="G30" s="196">
        <f>10691493/1000000</f>
        <v>10.691492999999999</v>
      </c>
      <c r="H30" s="195" t="s">
        <v>236</v>
      </c>
      <c r="I30" s="201" t="s">
        <v>236</v>
      </c>
      <c r="J30" s="200">
        <v>6.7</v>
      </c>
      <c r="K30" s="1049">
        <v>8.7896127660965355</v>
      </c>
      <c r="L30" s="1049">
        <v>10</v>
      </c>
      <c r="M30" s="1049">
        <v>10</v>
      </c>
      <c r="N30" s="1049">
        <v>10</v>
      </c>
      <c r="O30" s="1049">
        <v>10</v>
      </c>
      <c r="P30" s="1049">
        <v>10</v>
      </c>
      <c r="Q30" s="1049">
        <v>10</v>
      </c>
      <c r="R30" s="1049">
        <v>10</v>
      </c>
      <c r="S30" s="1049">
        <v>10</v>
      </c>
      <c r="T30" s="1049">
        <v>10.9992</v>
      </c>
      <c r="U30" s="1049">
        <v>11.589700000000001</v>
      </c>
      <c r="V30" s="1049">
        <v>12.3011</v>
      </c>
      <c r="W30" s="1049">
        <v>12.995699999999999</v>
      </c>
      <c r="X30" s="1049">
        <v>13.7471</v>
      </c>
      <c r="Y30" s="1049">
        <v>14.330299999999999</v>
      </c>
      <c r="Z30" s="1050">
        <v>14.9754</v>
      </c>
    </row>
    <row r="31" spans="1:30">
      <c r="A31" s="180"/>
      <c r="B31" s="199" t="s">
        <v>242</v>
      </c>
      <c r="C31" s="198" t="s">
        <v>236</v>
      </c>
      <c r="D31" s="197" t="s">
        <v>236</v>
      </c>
      <c r="E31" s="196">
        <v>5.9023110000000001</v>
      </c>
      <c r="F31" s="197" t="s">
        <v>236</v>
      </c>
      <c r="G31" s="196">
        <f>5912292/1000000</f>
        <v>5.9122919999999999</v>
      </c>
      <c r="H31" s="195" t="s">
        <v>236</v>
      </c>
      <c r="I31" s="194" t="s">
        <v>236</v>
      </c>
      <c r="J31" s="177">
        <v>10.3</v>
      </c>
      <c r="K31" s="1049">
        <v>8.25</v>
      </c>
      <c r="L31" s="1049">
        <v>5</v>
      </c>
      <c r="M31" s="1049">
        <v>5</v>
      </c>
      <c r="N31" s="1049">
        <v>5</v>
      </c>
      <c r="O31" s="1049">
        <v>5</v>
      </c>
      <c r="P31" s="1049">
        <v>5</v>
      </c>
      <c r="Q31" s="1049">
        <v>5</v>
      </c>
      <c r="R31" s="1049">
        <v>5</v>
      </c>
      <c r="S31" s="1049">
        <v>0</v>
      </c>
      <c r="T31" s="1049">
        <v>0</v>
      </c>
      <c r="U31" s="1049">
        <v>0</v>
      </c>
      <c r="V31" s="1049">
        <v>0</v>
      </c>
      <c r="W31" s="1049">
        <v>0</v>
      </c>
      <c r="X31" s="1049">
        <v>0</v>
      </c>
      <c r="Y31" s="1049">
        <v>0</v>
      </c>
      <c r="Z31" s="1050">
        <v>0</v>
      </c>
    </row>
    <row r="32" spans="1:30">
      <c r="A32" s="180"/>
      <c r="B32" s="193" t="s">
        <v>241</v>
      </c>
      <c r="C32" s="192">
        <v>16</v>
      </c>
      <c r="D32" s="190">
        <v>9.9540220000000001</v>
      </c>
      <c r="E32" s="190">
        <f>(SUM(E30:E31))</f>
        <v>5.9023110000000001</v>
      </c>
      <c r="F32" s="190">
        <v>9.9753980000000002</v>
      </c>
      <c r="G32" s="190">
        <f>(SUM(G30:G31))</f>
        <v>16.603784999999998</v>
      </c>
      <c r="H32" s="190">
        <v>15.965802999999999</v>
      </c>
      <c r="I32" s="189">
        <v>14.340164999999999</v>
      </c>
      <c r="J32" s="191">
        <f>SUM(J30:J31)</f>
        <v>17</v>
      </c>
      <c r="K32" s="1078">
        <f>SUM(K30:K31)</f>
        <v>17.039612766096536</v>
      </c>
      <c r="L32" s="1078">
        <f t="shared" ref="L32:Z32" si="4">SUM(L30:L31)</f>
        <v>15</v>
      </c>
      <c r="M32" s="1078">
        <f t="shared" si="4"/>
        <v>15</v>
      </c>
      <c r="N32" s="1078">
        <f t="shared" si="4"/>
        <v>15</v>
      </c>
      <c r="O32" s="1078">
        <f t="shared" si="4"/>
        <v>15</v>
      </c>
      <c r="P32" s="1078">
        <f t="shared" si="4"/>
        <v>15</v>
      </c>
      <c r="Q32" s="1078">
        <f t="shared" si="4"/>
        <v>15</v>
      </c>
      <c r="R32" s="1078">
        <f t="shared" si="4"/>
        <v>15</v>
      </c>
      <c r="S32" s="1078">
        <f t="shared" si="4"/>
        <v>10</v>
      </c>
      <c r="T32" s="1078">
        <f t="shared" si="4"/>
        <v>10.9992</v>
      </c>
      <c r="U32" s="1078">
        <f t="shared" si="4"/>
        <v>11.589700000000001</v>
      </c>
      <c r="V32" s="1078">
        <f t="shared" si="4"/>
        <v>12.3011</v>
      </c>
      <c r="W32" s="1078">
        <f t="shared" si="4"/>
        <v>12.995699999999999</v>
      </c>
      <c r="X32" s="1078">
        <f t="shared" si="4"/>
        <v>13.7471</v>
      </c>
      <c r="Y32" s="1078">
        <f t="shared" si="4"/>
        <v>14.330299999999999</v>
      </c>
      <c r="Z32" s="1079">
        <f t="shared" si="4"/>
        <v>14.9754</v>
      </c>
    </row>
    <row r="33" spans="1:16383">
      <c r="A33" s="180"/>
      <c r="B33" s="188"/>
      <c r="C33" s="187"/>
      <c r="D33" s="186"/>
      <c r="E33" s="186"/>
      <c r="F33" s="186"/>
      <c r="G33" s="186"/>
      <c r="H33" s="186"/>
      <c r="I33" s="186"/>
      <c r="J33" s="177"/>
      <c r="K33" s="1035"/>
      <c r="L33" s="1035"/>
      <c r="M33" s="1035"/>
      <c r="N33" s="1035"/>
      <c r="O33" s="1035"/>
      <c r="P33" s="1035"/>
      <c r="Q33" s="1035"/>
      <c r="R33" s="1035"/>
      <c r="S33" s="1035"/>
      <c r="T33" s="1035"/>
      <c r="U33" s="1035"/>
      <c r="V33" s="1035"/>
      <c r="W33" s="1035"/>
      <c r="X33" s="1035"/>
      <c r="Y33" s="1035"/>
      <c r="Z33" s="1036"/>
    </row>
    <row r="34" spans="1:16383" ht="19.5" thickBot="1">
      <c r="A34" s="185" t="s">
        <v>240</v>
      </c>
      <c r="B34" s="254"/>
      <c r="C34" s="183" t="s">
        <v>239</v>
      </c>
      <c r="D34" s="181">
        <f t="shared" ref="D34:I34" si="5">D27+D32</f>
        <v>378.30961828608514</v>
      </c>
      <c r="E34" s="181">
        <f t="shared" si="5"/>
        <v>333.42658002607328</v>
      </c>
      <c r="F34" s="181">
        <f t="shared" si="5"/>
        <v>411.5678402380172</v>
      </c>
      <c r="G34" s="181">
        <f t="shared" si="5"/>
        <v>361.30870143025004</v>
      </c>
      <c r="H34" s="181">
        <f t="shared" si="5"/>
        <v>363.40493450000002</v>
      </c>
      <c r="I34" s="181">
        <f t="shared" si="5"/>
        <v>549.9772815</v>
      </c>
      <c r="J34" s="182">
        <v>888.1</v>
      </c>
      <c r="K34" s="1039">
        <f>MROUND(K32+K27, 10)</f>
        <v>570</v>
      </c>
      <c r="L34" s="1039">
        <f t="shared" ref="L34:Z34" si="6">MROUND(L32+L27, 10)</f>
        <v>590</v>
      </c>
      <c r="M34" s="1039">
        <f t="shared" si="6"/>
        <v>1330</v>
      </c>
      <c r="N34" s="1039">
        <f t="shared" si="6"/>
        <v>1270</v>
      </c>
      <c r="O34" s="1039">
        <f t="shared" si="6"/>
        <v>1060</v>
      </c>
      <c r="P34" s="1039">
        <f t="shared" si="6"/>
        <v>880</v>
      </c>
      <c r="Q34" s="1039">
        <f t="shared" si="6"/>
        <v>700</v>
      </c>
      <c r="R34" s="1039">
        <f t="shared" si="6"/>
        <v>640</v>
      </c>
      <c r="S34" s="1039">
        <f t="shared" si="6"/>
        <v>580</v>
      </c>
      <c r="T34" s="1039">
        <f t="shared" si="6"/>
        <v>510</v>
      </c>
      <c r="U34" s="1039">
        <f t="shared" si="6"/>
        <v>390</v>
      </c>
      <c r="V34" s="1039">
        <f t="shared" si="6"/>
        <v>350</v>
      </c>
      <c r="W34" s="1039">
        <f t="shared" si="6"/>
        <v>320</v>
      </c>
      <c r="X34" s="1039">
        <f t="shared" si="6"/>
        <v>290</v>
      </c>
      <c r="Y34" s="1039">
        <f t="shared" si="6"/>
        <v>270</v>
      </c>
      <c r="Z34" s="1040">
        <f t="shared" si="6"/>
        <v>250</v>
      </c>
    </row>
    <row r="35" spans="1:16383" ht="13.5" thickTop="1">
      <c r="A35" s="180"/>
      <c r="B35" s="175" t="s">
        <v>238</v>
      </c>
      <c r="C35" s="179">
        <f>C9+C27</f>
        <v>596.2581419194189</v>
      </c>
      <c r="D35" s="170">
        <f>D9+D27</f>
        <v>422.35559628608513</v>
      </c>
      <c r="E35" s="178" t="s">
        <v>236</v>
      </c>
      <c r="F35" s="170">
        <f>F9+F27</f>
        <v>647.59244223801716</v>
      </c>
      <c r="G35" s="170">
        <f>G9+G27</f>
        <v>756.70491643025002</v>
      </c>
      <c r="H35" s="170">
        <f>H9+H27</f>
        <v>667.43913150000003</v>
      </c>
      <c r="I35" s="170">
        <f>I9+I27</f>
        <v>796.63711650000005</v>
      </c>
      <c r="J35" s="177">
        <v>1158.3868030000001</v>
      </c>
      <c r="K35" s="1035">
        <f>K9+K27</f>
        <v>888.99999999999989</v>
      </c>
      <c r="L35" s="1035">
        <f t="shared" ref="L35:Z35" si="7">L9+L27</f>
        <v>973.8</v>
      </c>
      <c r="M35" s="1035">
        <f t="shared" si="7"/>
        <v>1524.7</v>
      </c>
      <c r="N35" s="1035">
        <f t="shared" si="7"/>
        <v>1374.7</v>
      </c>
      <c r="O35" s="1035">
        <f t="shared" si="7"/>
        <v>1119.9359217773087</v>
      </c>
      <c r="P35" s="1035">
        <f t="shared" si="7"/>
        <v>928.3</v>
      </c>
      <c r="Q35" s="1035">
        <f t="shared" si="7"/>
        <v>761.8</v>
      </c>
      <c r="R35" s="1035">
        <f t="shared" si="7"/>
        <v>687.49999999999989</v>
      </c>
      <c r="S35" s="1035">
        <f t="shared" si="7"/>
        <v>610.40000000000009</v>
      </c>
      <c r="T35" s="1035">
        <f t="shared" si="7"/>
        <v>496.3</v>
      </c>
      <c r="U35" s="1035">
        <f t="shared" si="7"/>
        <v>377</v>
      </c>
      <c r="V35" s="1035">
        <f t="shared" si="7"/>
        <v>338.2</v>
      </c>
      <c r="W35" s="1035">
        <f t="shared" si="7"/>
        <v>307</v>
      </c>
      <c r="X35" s="1035">
        <f t="shared" si="7"/>
        <v>280.8</v>
      </c>
      <c r="Y35" s="1035">
        <f t="shared" si="7"/>
        <v>255.5</v>
      </c>
      <c r="Z35" s="1036">
        <f t="shared" si="7"/>
        <v>234.2</v>
      </c>
    </row>
    <row r="36" spans="1:16383" ht="18.75" customHeight="1">
      <c r="A36" s="176"/>
      <c r="B36" s="175" t="s">
        <v>237</v>
      </c>
      <c r="C36" s="174">
        <f>C15+C32</f>
        <v>16</v>
      </c>
      <c r="D36" s="172">
        <f>D15+D32</f>
        <v>9.9540220000000001</v>
      </c>
      <c r="E36" s="173" t="s">
        <v>236</v>
      </c>
      <c r="F36" s="172">
        <f>F15+F32</f>
        <v>14.975398</v>
      </c>
      <c r="G36" s="172">
        <f>G15+G32</f>
        <v>54.603785000000002</v>
      </c>
      <c r="H36" s="172">
        <f>H15+H32</f>
        <v>48.965803000000001</v>
      </c>
      <c r="I36" s="170">
        <f>I15+I32</f>
        <v>122.340165</v>
      </c>
      <c r="J36" s="171">
        <v>322.40841899999998</v>
      </c>
      <c r="K36" s="1035">
        <f>K15+K32</f>
        <v>298.48744276609654</v>
      </c>
      <c r="L36" s="1035">
        <f t="shared" ref="L36:Z36" si="8">L15+L32</f>
        <v>303.26909999999998</v>
      </c>
      <c r="M36" s="1035">
        <f t="shared" si="8"/>
        <v>240.32239999999999</v>
      </c>
      <c r="N36" s="1035">
        <f t="shared" si="8"/>
        <v>211.58503999999999</v>
      </c>
      <c r="O36" s="1035">
        <f t="shared" si="8"/>
        <v>191.01564775</v>
      </c>
      <c r="P36" s="1035">
        <f t="shared" si="8"/>
        <v>221.52849999999998</v>
      </c>
      <c r="Q36" s="1035">
        <f t="shared" si="8"/>
        <v>190.64609999999999</v>
      </c>
      <c r="R36" s="1035">
        <f t="shared" si="8"/>
        <v>214.84759999999997</v>
      </c>
      <c r="S36" s="1035">
        <f t="shared" si="8"/>
        <v>234.22209999999998</v>
      </c>
      <c r="T36" s="1035">
        <f t="shared" si="8"/>
        <v>283.7321</v>
      </c>
      <c r="U36" s="1035">
        <f t="shared" si="8"/>
        <v>283.93869999999998</v>
      </c>
      <c r="V36" s="1035">
        <f t="shared" si="8"/>
        <v>358.04750000000001</v>
      </c>
      <c r="W36" s="1035">
        <f t="shared" si="8"/>
        <v>357.81192575</v>
      </c>
      <c r="X36" s="1035">
        <f t="shared" si="8"/>
        <v>357.62738824999997</v>
      </c>
      <c r="Y36" s="1035">
        <f t="shared" si="8"/>
        <v>357.48281600000001</v>
      </c>
      <c r="Z36" s="1036">
        <f t="shared" si="8"/>
        <v>357.36956375</v>
      </c>
    </row>
    <row r="37" spans="1:16383" ht="19.5" thickBot="1">
      <c r="A37" s="169" t="s">
        <v>235</v>
      </c>
      <c r="B37" s="254"/>
      <c r="C37" s="168">
        <v>612</v>
      </c>
      <c r="D37" s="165">
        <v>432</v>
      </c>
      <c r="E37" s="165">
        <v>526</v>
      </c>
      <c r="F37" s="165">
        <v>662</v>
      </c>
      <c r="G37" s="167" t="s">
        <v>234</v>
      </c>
      <c r="H37" s="165">
        <v>716</v>
      </c>
      <c r="I37" s="165">
        <v>918</v>
      </c>
      <c r="J37" s="166">
        <v>1480.7952220000002</v>
      </c>
      <c r="K37" s="1051">
        <f>K34+K17</f>
        <v>1195</v>
      </c>
      <c r="L37" s="1051">
        <f>L34+L17</f>
        <v>1290</v>
      </c>
      <c r="M37" s="1051">
        <f>M34+M17</f>
        <v>1780</v>
      </c>
      <c r="N37" s="1051">
        <f>N34+N17</f>
        <v>1595</v>
      </c>
      <c r="O37" s="1051">
        <f t="shared" ref="O37:Z37" si="9">O34+O17</f>
        <v>1335</v>
      </c>
      <c r="P37" s="1051">
        <f t="shared" si="9"/>
        <v>1155</v>
      </c>
      <c r="Q37" s="1051">
        <f t="shared" si="9"/>
        <v>975</v>
      </c>
      <c r="R37" s="1051">
        <f t="shared" si="9"/>
        <v>915</v>
      </c>
      <c r="S37" s="1051">
        <f t="shared" si="9"/>
        <v>855</v>
      </c>
      <c r="T37" s="1051">
        <f t="shared" si="9"/>
        <v>785</v>
      </c>
      <c r="U37" s="1051">
        <f t="shared" si="9"/>
        <v>665</v>
      </c>
      <c r="V37" s="1051">
        <f t="shared" si="9"/>
        <v>700</v>
      </c>
      <c r="W37" s="1051">
        <f t="shared" si="9"/>
        <v>670</v>
      </c>
      <c r="X37" s="1051">
        <f t="shared" si="9"/>
        <v>640</v>
      </c>
      <c r="Y37" s="1051">
        <f t="shared" si="9"/>
        <v>620</v>
      </c>
      <c r="Z37" s="1052">
        <f t="shared" si="9"/>
        <v>600</v>
      </c>
    </row>
    <row r="38" spans="1:16383" ht="8.1" customHeight="1">
      <c r="G38" s="164"/>
    </row>
    <row r="39" spans="1:16383" ht="17.25" customHeight="1">
      <c r="A39" s="162" t="s">
        <v>233</v>
      </c>
      <c r="H39" s="1222" t="s">
        <v>232</v>
      </c>
      <c r="I39" s="1222"/>
      <c r="J39" s="1222"/>
      <c r="K39" s="1222"/>
      <c r="L39" s="1222"/>
      <c r="M39" s="1222"/>
      <c r="N39" s="1222"/>
      <c r="O39" s="1222"/>
    </row>
    <row r="40" spans="1:16383" ht="14.25" customHeight="1">
      <c r="A40" s="162"/>
      <c r="H40" s="1222"/>
      <c r="I40" s="1222"/>
      <c r="J40" s="1222"/>
      <c r="K40" s="1222"/>
      <c r="L40" s="1222"/>
      <c r="M40" s="1222"/>
      <c r="N40" s="1222"/>
      <c r="O40" s="1222"/>
    </row>
    <row r="41" spans="1:16383">
      <c r="A41" s="163" t="s">
        <v>231</v>
      </c>
      <c r="B41" s="162"/>
      <c r="C41" s="162"/>
      <c r="D41" s="162"/>
      <c r="E41" s="162"/>
      <c r="F41" s="162"/>
      <c r="G41" s="162"/>
      <c r="H41" s="1222"/>
      <c r="I41" s="1222"/>
      <c r="J41" s="1222"/>
      <c r="K41" s="1222"/>
      <c r="L41" s="1222"/>
      <c r="M41" s="1222"/>
      <c r="N41" s="1222"/>
      <c r="O41" s="1222"/>
    </row>
    <row r="42" spans="1:16383" ht="8.1" customHeight="1">
      <c r="B42" s="162"/>
      <c r="C42" s="162"/>
      <c r="D42" s="162"/>
      <c r="E42" s="162"/>
      <c r="F42" s="162"/>
      <c r="G42" s="162"/>
      <c r="H42" s="1222"/>
      <c r="I42" s="1222"/>
      <c r="J42" s="1222"/>
      <c r="K42" s="1222"/>
      <c r="L42" s="1222"/>
      <c r="M42" s="1222"/>
      <c r="N42" s="1222"/>
      <c r="O42" s="1222"/>
    </row>
    <row r="43" spans="1:16383" ht="18.75" customHeight="1">
      <c r="A43" s="159" t="s">
        <v>230</v>
      </c>
      <c r="B43" s="162"/>
      <c r="C43" s="162"/>
      <c r="D43" s="162"/>
      <c r="E43" s="162"/>
      <c r="F43" s="162"/>
      <c r="G43" s="162"/>
      <c r="H43" s="1222"/>
      <c r="I43" s="1222"/>
      <c r="J43" s="1222"/>
      <c r="K43" s="1222"/>
      <c r="L43" s="1222"/>
      <c r="M43" s="1222"/>
      <c r="N43" s="1222"/>
      <c r="O43" s="1222"/>
      <c r="P43" s="161"/>
      <c r="Q43" s="161"/>
      <c r="R43" s="161"/>
      <c r="S43" s="161"/>
      <c r="T43" s="161"/>
      <c r="U43" s="161"/>
      <c r="V43" s="161"/>
    </row>
    <row r="44" spans="1:16383" ht="8.1" customHeight="1">
      <c r="B44" s="160"/>
      <c r="C44" s="160"/>
      <c r="D44" s="160"/>
      <c r="E44" s="160"/>
      <c r="F44" s="160"/>
      <c r="G44" s="160"/>
      <c r="I44" s="158"/>
      <c r="J44" s="157"/>
      <c r="O44" s="161"/>
      <c r="P44" s="161"/>
      <c r="Q44" s="161"/>
      <c r="R44" s="161"/>
      <c r="S44" s="161"/>
      <c r="T44" s="161"/>
      <c r="U44" s="161"/>
      <c r="V44" s="161"/>
    </row>
    <row r="45" spans="1:16383" ht="18.75" customHeight="1">
      <c r="A45" s="1223" t="s">
        <v>229</v>
      </c>
      <c r="B45" s="1223"/>
      <c r="C45" s="1223"/>
      <c r="D45" s="1223"/>
      <c r="E45" s="1223"/>
      <c r="F45" s="1223"/>
      <c r="G45" s="161"/>
      <c r="H45" s="1223" t="s">
        <v>228</v>
      </c>
      <c r="I45" s="1223"/>
      <c r="J45" s="1223"/>
      <c r="K45" s="1223"/>
      <c r="L45" s="1223"/>
      <c r="M45" s="1223"/>
      <c r="N45" s="1223"/>
      <c r="O45" s="1223"/>
    </row>
    <row r="46" spans="1:16383">
      <c r="A46" s="1223"/>
      <c r="B46" s="1223"/>
      <c r="C46" s="1223"/>
      <c r="D46" s="1223"/>
      <c r="E46" s="1223"/>
      <c r="F46" s="1223"/>
      <c r="G46" s="161"/>
      <c r="H46" s="1223"/>
      <c r="I46" s="1223"/>
      <c r="J46" s="1223"/>
      <c r="K46" s="1223"/>
      <c r="L46" s="1223"/>
      <c r="M46" s="1223"/>
      <c r="N46" s="1223"/>
      <c r="O46" s="1223"/>
    </row>
    <row r="47" spans="1:16383" ht="8.1" customHeight="1">
      <c r="A47" s="160"/>
      <c r="B47" s="160"/>
      <c r="C47" s="160"/>
      <c r="D47" s="160"/>
      <c r="E47" s="160"/>
      <c r="F47" s="160"/>
      <c r="G47" s="160"/>
      <c r="I47" s="158"/>
      <c r="J47" s="157"/>
    </row>
    <row r="48" spans="1:16383" ht="18.75" customHeight="1">
      <c r="A48" s="1222" t="s">
        <v>227</v>
      </c>
      <c r="B48" s="1222"/>
      <c r="C48" s="1222"/>
      <c r="D48" s="1222"/>
      <c r="E48" s="1222"/>
      <c r="F48" s="1222"/>
      <c r="G48" s="161"/>
      <c r="H48" s="159" t="s">
        <v>226</v>
      </c>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c r="CX48" s="159"/>
      <c r="CY48" s="159"/>
      <c r="CZ48" s="159"/>
      <c r="DA48" s="159"/>
      <c r="DB48" s="159"/>
      <c r="DC48" s="159"/>
      <c r="DD48" s="159"/>
      <c r="DE48" s="159"/>
      <c r="DF48" s="159"/>
      <c r="DG48" s="159"/>
      <c r="DH48" s="159"/>
      <c r="DI48" s="159"/>
      <c r="DJ48" s="159"/>
      <c r="DK48" s="159"/>
      <c r="DL48" s="159"/>
      <c r="DM48" s="159"/>
      <c r="DN48" s="159"/>
      <c r="DO48" s="159"/>
      <c r="DP48" s="159"/>
      <c r="DQ48" s="159"/>
      <c r="DR48" s="159"/>
      <c r="DS48" s="159"/>
      <c r="DT48" s="159"/>
      <c r="DU48" s="159"/>
      <c r="DV48" s="159"/>
      <c r="DW48" s="159"/>
      <c r="DX48" s="159"/>
      <c r="DY48" s="159"/>
      <c r="DZ48" s="159"/>
      <c r="EA48" s="159"/>
      <c r="EB48" s="159"/>
      <c r="EC48" s="159"/>
      <c r="ED48" s="159"/>
      <c r="EE48" s="159"/>
      <c r="EF48" s="159"/>
      <c r="EG48" s="159"/>
      <c r="EH48" s="159"/>
      <c r="EI48" s="159"/>
      <c r="EJ48" s="159"/>
      <c r="EK48" s="159"/>
      <c r="EL48" s="159"/>
      <c r="EM48" s="159"/>
      <c r="EN48" s="159"/>
      <c r="EO48" s="159"/>
      <c r="EP48" s="159"/>
      <c r="EQ48" s="159"/>
      <c r="ER48" s="159"/>
      <c r="ES48" s="159"/>
      <c r="ET48" s="159"/>
      <c r="EU48" s="159"/>
      <c r="EV48" s="159"/>
      <c r="EW48" s="159"/>
      <c r="EX48" s="159"/>
      <c r="EY48" s="159"/>
      <c r="EZ48" s="159"/>
      <c r="FA48" s="159"/>
      <c r="FB48" s="159"/>
      <c r="FC48" s="159"/>
      <c r="FD48" s="159"/>
      <c r="FE48" s="159"/>
      <c r="FF48" s="159"/>
      <c r="FG48" s="159"/>
      <c r="FH48" s="159"/>
      <c r="FI48" s="159"/>
      <c r="FJ48" s="159"/>
      <c r="FK48" s="159"/>
      <c r="FL48" s="159"/>
      <c r="FM48" s="159"/>
      <c r="FN48" s="159"/>
      <c r="FO48" s="159"/>
      <c r="FP48" s="159"/>
      <c r="FQ48" s="159"/>
      <c r="FR48" s="159"/>
      <c r="FS48" s="159"/>
      <c r="FT48" s="159"/>
      <c r="FU48" s="159"/>
      <c r="FV48" s="159"/>
      <c r="FW48" s="159"/>
      <c r="FX48" s="159"/>
      <c r="FY48" s="159"/>
      <c r="FZ48" s="159"/>
      <c r="GA48" s="159"/>
      <c r="GB48" s="159"/>
      <c r="GC48" s="159"/>
      <c r="GD48" s="159"/>
      <c r="GE48" s="159"/>
      <c r="GF48" s="159"/>
      <c r="GG48" s="159"/>
      <c r="GH48" s="159"/>
      <c r="GI48" s="159"/>
      <c r="GJ48" s="159"/>
      <c r="GK48" s="159"/>
      <c r="GL48" s="159"/>
      <c r="GM48" s="159"/>
      <c r="GN48" s="159"/>
      <c r="GO48" s="159"/>
      <c r="GP48" s="159"/>
      <c r="GQ48" s="159"/>
      <c r="GR48" s="159"/>
      <c r="GS48" s="159"/>
      <c r="GT48" s="159"/>
      <c r="GU48" s="159"/>
      <c r="GV48" s="159"/>
      <c r="GW48" s="159"/>
      <c r="GX48" s="159"/>
      <c r="GY48" s="159"/>
      <c r="GZ48" s="159"/>
      <c r="HA48" s="159"/>
      <c r="HB48" s="159"/>
      <c r="HC48" s="159"/>
      <c r="HD48" s="159"/>
      <c r="HE48" s="159"/>
      <c r="HF48" s="159"/>
      <c r="HG48" s="159"/>
      <c r="HH48" s="159"/>
      <c r="HI48" s="159"/>
      <c r="HJ48" s="159"/>
      <c r="HK48" s="159"/>
      <c r="HL48" s="159"/>
      <c r="HM48" s="159"/>
      <c r="HN48" s="159"/>
      <c r="HO48" s="159"/>
      <c r="HP48" s="159"/>
      <c r="HQ48" s="159"/>
      <c r="HR48" s="159"/>
      <c r="HS48" s="159"/>
      <c r="HT48" s="159"/>
      <c r="HU48" s="159"/>
      <c r="HV48" s="159"/>
      <c r="HW48" s="159"/>
      <c r="HX48" s="159"/>
      <c r="HY48" s="159"/>
      <c r="HZ48" s="159"/>
      <c r="IA48" s="159"/>
      <c r="IB48" s="159"/>
      <c r="IC48" s="159"/>
      <c r="ID48" s="159"/>
      <c r="IE48" s="159"/>
      <c r="IF48" s="159"/>
      <c r="IG48" s="159"/>
      <c r="IH48" s="159"/>
      <c r="II48" s="159"/>
      <c r="IJ48" s="159"/>
      <c r="IK48" s="159"/>
      <c r="IL48" s="159"/>
      <c r="IM48" s="159"/>
      <c r="IN48" s="159"/>
      <c r="IO48" s="159"/>
      <c r="IP48" s="159"/>
      <c r="IQ48" s="159"/>
      <c r="IR48" s="159"/>
      <c r="IS48" s="159"/>
      <c r="IT48" s="159"/>
      <c r="IU48" s="159"/>
      <c r="IV48" s="159"/>
      <c r="IW48" s="159"/>
      <c r="IX48" s="159"/>
      <c r="IY48" s="159"/>
      <c r="IZ48" s="159"/>
      <c r="JA48" s="159"/>
      <c r="JB48" s="159"/>
      <c r="JC48" s="159"/>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c r="KJ48" s="159"/>
      <c r="KK48" s="159"/>
      <c r="KL48" s="159"/>
      <c r="KM48" s="159"/>
      <c r="KN48" s="159"/>
      <c r="KO48" s="159"/>
      <c r="KP48" s="159"/>
      <c r="KQ48" s="159"/>
      <c r="KR48" s="159"/>
      <c r="KS48" s="159"/>
      <c r="KT48" s="159"/>
      <c r="KU48" s="159"/>
      <c r="KV48" s="159"/>
      <c r="KW48" s="159"/>
      <c r="KX48" s="159"/>
      <c r="KY48" s="159"/>
      <c r="KZ48" s="159"/>
      <c r="LA48" s="159"/>
      <c r="LB48" s="159"/>
      <c r="LC48" s="159"/>
      <c r="LD48" s="159"/>
      <c r="LE48" s="159"/>
      <c r="LF48" s="159"/>
      <c r="LG48" s="159"/>
      <c r="LH48" s="159"/>
      <c r="LI48" s="159"/>
      <c r="LJ48" s="159"/>
      <c r="LK48" s="159"/>
      <c r="LL48" s="159"/>
      <c r="LM48" s="159"/>
      <c r="LN48" s="159"/>
      <c r="LO48" s="159"/>
      <c r="LP48" s="159"/>
      <c r="LQ48" s="159"/>
      <c r="LR48" s="159"/>
      <c r="LS48" s="159"/>
      <c r="LT48" s="159"/>
      <c r="LU48" s="159"/>
      <c r="LV48" s="159"/>
      <c r="LW48" s="159"/>
      <c r="LX48" s="159"/>
      <c r="LY48" s="159"/>
      <c r="LZ48" s="159"/>
      <c r="MA48" s="159"/>
      <c r="MB48" s="159"/>
      <c r="MC48" s="159"/>
      <c r="MD48" s="159"/>
      <c r="ME48" s="159"/>
      <c r="MF48" s="159"/>
      <c r="MG48" s="159"/>
      <c r="MH48" s="159"/>
      <c r="MI48" s="159"/>
      <c r="MJ48" s="159"/>
      <c r="MK48" s="159"/>
      <c r="ML48" s="159"/>
      <c r="MM48" s="159"/>
      <c r="MN48" s="159"/>
      <c r="MO48" s="159"/>
      <c r="MP48" s="159"/>
      <c r="MQ48" s="159"/>
      <c r="MR48" s="159"/>
      <c r="MS48" s="159"/>
      <c r="MT48" s="159"/>
      <c r="MU48" s="159"/>
      <c r="MV48" s="159"/>
      <c r="MW48" s="159"/>
      <c r="MX48" s="159"/>
      <c r="MY48" s="159"/>
      <c r="MZ48" s="159"/>
      <c r="NA48" s="159"/>
      <c r="NB48" s="159"/>
      <c r="NC48" s="159"/>
      <c r="ND48" s="159"/>
      <c r="NE48" s="159"/>
      <c r="NF48" s="159"/>
      <c r="NG48" s="159"/>
      <c r="NH48" s="159"/>
      <c r="NI48" s="159"/>
      <c r="NJ48" s="159"/>
      <c r="NK48" s="159"/>
      <c r="NL48" s="159"/>
      <c r="NM48" s="159"/>
      <c r="NN48" s="159"/>
      <c r="NO48" s="159"/>
      <c r="NP48" s="159"/>
      <c r="NQ48" s="159"/>
      <c r="NR48" s="159"/>
      <c r="NS48" s="159"/>
      <c r="NT48" s="159"/>
      <c r="NU48" s="159"/>
      <c r="NV48" s="159"/>
      <c r="NW48" s="159"/>
      <c r="NX48" s="159"/>
      <c r="NY48" s="159"/>
      <c r="NZ48" s="159"/>
      <c r="OA48" s="159"/>
      <c r="OB48" s="159"/>
      <c r="OC48" s="159"/>
      <c r="OD48" s="159"/>
      <c r="OE48" s="159"/>
      <c r="OF48" s="159"/>
      <c r="OG48" s="159"/>
      <c r="OH48" s="159"/>
      <c r="OI48" s="159"/>
      <c r="OJ48" s="159"/>
      <c r="OK48" s="159"/>
      <c r="OL48" s="159"/>
      <c r="OM48" s="159"/>
      <c r="ON48" s="159"/>
      <c r="OO48" s="159"/>
      <c r="OP48" s="159"/>
      <c r="OQ48" s="159"/>
      <c r="OR48" s="159"/>
      <c r="OS48" s="159"/>
      <c r="OT48" s="159"/>
      <c r="OU48" s="159"/>
      <c r="OV48" s="159"/>
      <c r="OW48" s="159"/>
      <c r="OX48" s="159"/>
      <c r="OY48" s="159"/>
      <c r="OZ48" s="159"/>
      <c r="PA48" s="159"/>
      <c r="PB48" s="159"/>
      <c r="PC48" s="159"/>
      <c r="PD48" s="159"/>
      <c r="PE48" s="159"/>
      <c r="PF48" s="159"/>
      <c r="PG48" s="159"/>
      <c r="PH48" s="159"/>
      <c r="PI48" s="159"/>
      <c r="PJ48" s="159"/>
      <c r="PK48" s="159"/>
      <c r="PL48" s="159"/>
      <c r="PM48" s="159"/>
      <c r="PN48" s="159"/>
      <c r="PO48" s="159"/>
      <c r="PP48" s="159"/>
      <c r="PQ48" s="159"/>
      <c r="PR48" s="159"/>
      <c r="PS48" s="159"/>
      <c r="PT48" s="159"/>
      <c r="PU48" s="159"/>
      <c r="PV48" s="159"/>
      <c r="PW48" s="159"/>
      <c r="PX48" s="159"/>
      <c r="PY48" s="159"/>
      <c r="PZ48" s="159"/>
      <c r="QA48" s="159"/>
      <c r="QB48" s="159"/>
      <c r="QC48" s="159"/>
      <c r="QD48" s="159"/>
      <c r="QE48" s="159"/>
      <c r="QF48" s="159"/>
      <c r="QG48" s="159"/>
      <c r="QH48" s="159"/>
      <c r="QI48" s="159"/>
      <c r="QJ48" s="159"/>
      <c r="QK48" s="159"/>
      <c r="QL48" s="159"/>
      <c r="QM48" s="159"/>
      <c r="QN48" s="159"/>
      <c r="QO48" s="159"/>
      <c r="QP48" s="159"/>
      <c r="QQ48" s="159"/>
      <c r="QR48" s="159"/>
      <c r="QS48" s="159"/>
      <c r="QT48" s="159"/>
      <c r="QU48" s="159"/>
      <c r="QV48" s="159"/>
      <c r="QW48" s="159"/>
      <c r="QX48" s="159"/>
      <c r="QY48" s="159"/>
      <c r="QZ48" s="159"/>
      <c r="RA48" s="159"/>
      <c r="RB48" s="159"/>
      <c r="RC48" s="159"/>
      <c r="RD48" s="159"/>
      <c r="RE48" s="159"/>
      <c r="RF48" s="159"/>
      <c r="RG48" s="159"/>
      <c r="RH48" s="159"/>
      <c r="RI48" s="159"/>
      <c r="RJ48" s="159"/>
      <c r="RK48" s="159"/>
      <c r="RL48" s="159"/>
      <c r="RM48" s="159"/>
      <c r="RN48" s="159"/>
      <c r="RO48" s="159"/>
      <c r="RP48" s="159"/>
      <c r="RQ48" s="159"/>
      <c r="RR48" s="159"/>
      <c r="RS48" s="159"/>
      <c r="RT48" s="159"/>
      <c r="RU48" s="159"/>
      <c r="RV48" s="159"/>
      <c r="RW48" s="159"/>
      <c r="RX48" s="159"/>
      <c r="RY48" s="159"/>
      <c r="RZ48" s="159"/>
      <c r="SA48" s="159"/>
      <c r="SB48" s="159"/>
      <c r="SC48" s="159"/>
      <c r="SD48" s="159"/>
      <c r="SE48" s="159"/>
      <c r="SF48" s="159"/>
      <c r="SG48" s="159"/>
      <c r="SH48" s="159"/>
      <c r="SI48" s="159"/>
      <c r="SJ48" s="159"/>
      <c r="SK48" s="159"/>
      <c r="SL48" s="159"/>
      <c r="SM48" s="159"/>
      <c r="SN48" s="159"/>
      <c r="SO48" s="159"/>
      <c r="SP48" s="159"/>
      <c r="SQ48" s="159"/>
      <c r="SR48" s="159"/>
      <c r="SS48" s="159"/>
      <c r="ST48" s="159"/>
      <c r="SU48" s="159"/>
      <c r="SV48" s="159"/>
      <c r="SW48" s="159"/>
      <c r="SX48" s="159"/>
      <c r="SY48" s="159"/>
      <c r="SZ48" s="159"/>
      <c r="TA48" s="159"/>
      <c r="TB48" s="159"/>
      <c r="TC48" s="159"/>
      <c r="TD48" s="159"/>
      <c r="TE48" s="159"/>
      <c r="TF48" s="159"/>
      <c r="TG48" s="159"/>
      <c r="TH48" s="159"/>
      <c r="TI48" s="159"/>
      <c r="TJ48" s="159"/>
      <c r="TK48" s="159"/>
      <c r="TL48" s="159"/>
      <c r="TM48" s="159"/>
      <c r="TN48" s="159"/>
      <c r="TO48" s="159"/>
      <c r="TP48" s="159"/>
      <c r="TQ48" s="159"/>
      <c r="TR48" s="159"/>
      <c r="TS48" s="159"/>
      <c r="TT48" s="159"/>
      <c r="TU48" s="159"/>
      <c r="TV48" s="159"/>
      <c r="TW48" s="159"/>
      <c r="TX48" s="159"/>
      <c r="TY48" s="159"/>
      <c r="TZ48" s="159"/>
      <c r="UA48" s="159"/>
      <c r="UB48" s="159"/>
      <c r="UC48" s="159"/>
      <c r="UD48" s="159"/>
      <c r="UE48" s="159"/>
      <c r="UF48" s="159"/>
      <c r="UG48" s="159"/>
      <c r="UH48" s="159"/>
      <c r="UI48" s="159"/>
      <c r="UJ48" s="159"/>
      <c r="UK48" s="159"/>
      <c r="UL48" s="159"/>
      <c r="UM48" s="159"/>
      <c r="UN48" s="159"/>
      <c r="UO48" s="159"/>
      <c r="UP48" s="159"/>
      <c r="UQ48" s="159"/>
      <c r="UR48" s="159"/>
      <c r="US48" s="159"/>
      <c r="UT48" s="159"/>
      <c r="UU48" s="159"/>
      <c r="UV48" s="159"/>
      <c r="UW48" s="159"/>
      <c r="UX48" s="159"/>
      <c r="UY48" s="159"/>
      <c r="UZ48" s="159"/>
      <c r="VA48" s="159"/>
      <c r="VB48" s="159"/>
      <c r="VC48" s="159"/>
      <c r="VD48" s="159"/>
      <c r="VE48" s="159"/>
      <c r="VF48" s="159"/>
      <c r="VG48" s="159"/>
      <c r="VH48" s="159"/>
      <c r="VI48" s="159"/>
      <c r="VJ48" s="159"/>
      <c r="VK48" s="159"/>
      <c r="VL48" s="159"/>
      <c r="VM48" s="159"/>
      <c r="VN48" s="159"/>
      <c r="VO48" s="159"/>
      <c r="VP48" s="159"/>
      <c r="VQ48" s="159"/>
      <c r="VR48" s="159"/>
      <c r="VS48" s="159"/>
      <c r="VT48" s="159"/>
      <c r="VU48" s="159"/>
      <c r="VV48" s="159"/>
      <c r="VW48" s="159"/>
      <c r="VX48" s="159"/>
      <c r="VY48" s="159"/>
      <c r="VZ48" s="159"/>
      <c r="WA48" s="159"/>
      <c r="WB48" s="159"/>
      <c r="WC48" s="159"/>
      <c r="WD48" s="159"/>
      <c r="WE48" s="159"/>
      <c r="WF48" s="159"/>
      <c r="WG48" s="159"/>
      <c r="WH48" s="159"/>
      <c r="WI48" s="159"/>
      <c r="WJ48" s="159"/>
      <c r="WK48" s="159"/>
      <c r="WL48" s="159"/>
      <c r="WM48" s="159"/>
      <c r="WN48" s="159"/>
      <c r="WO48" s="159"/>
      <c r="WP48" s="159"/>
      <c r="WQ48" s="159"/>
      <c r="WR48" s="159"/>
      <c r="WS48" s="159"/>
      <c r="WT48" s="159"/>
      <c r="WU48" s="159"/>
      <c r="WV48" s="159"/>
      <c r="WW48" s="159"/>
      <c r="WX48" s="159"/>
      <c r="WY48" s="159"/>
      <c r="WZ48" s="159"/>
      <c r="XA48" s="159"/>
      <c r="XB48" s="159"/>
      <c r="XC48" s="159"/>
      <c r="XD48" s="159"/>
      <c r="XE48" s="159"/>
      <c r="XF48" s="159"/>
      <c r="XG48" s="159"/>
      <c r="XH48" s="159"/>
      <c r="XI48" s="159"/>
      <c r="XJ48" s="159"/>
      <c r="XK48" s="159"/>
      <c r="XL48" s="159"/>
      <c r="XM48" s="159"/>
      <c r="XN48" s="159"/>
      <c r="XO48" s="159"/>
      <c r="XP48" s="159"/>
      <c r="XQ48" s="159"/>
      <c r="XR48" s="159"/>
      <c r="XS48" s="159"/>
      <c r="XT48" s="159"/>
      <c r="XU48" s="159"/>
      <c r="XV48" s="159"/>
      <c r="XW48" s="159"/>
      <c r="XX48" s="159"/>
      <c r="XY48" s="159"/>
      <c r="XZ48" s="159"/>
      <c r="YA48" s="159"/>
      <c r="YB48" s="159"/>
      <c r="YC48" s="159"/>
      <c r="YD48" s="159"/>
      <c r="YE48" s="159"/>
      <c r="YF48" s="159"/>
      <c r="YG48" s="159"/>
      <c r="YH48" s="159"/>
      <c r="YI48" s="159"/>
      <c r="YJ48" s="159"/>
      <c r="YK48" s="159"/>
      <c r="YL48" s="159"/>
      <c r="YM48" s="159"/>
      <c r="YN48" s="159"/>
      <c r="YO48" s="159"/>
      <c r="YP48" s="159"/>
      <c r="YQ48" s="159"/>
      <c r="YR48" s="159"/>
      <c r="YS48" s="159"/>
      <c r="YT48" s="159"/>
      <c r="YU48" s="159"/>
      <c r="YV48" s="159"/>
      <c r="YW48" s="159"/>
      <c r="YX48" s="159"/>
      <c r="YY48" s="159"/>
      <c r="YZ48" s="159"/>
      <c r="ZA48" s="159"/>
      <c r="ZB48" s="159"/>
      <c r="ZC48" s="159"/>
      <c r="ZD48" s="159"/>
      <c r="ZE48" s="159"/>
      <c r="ZF48" s="159"/>
      <c r="ZG48" s="159"/>
      <c r="ZH48" s="159"/>
      <c r="ZI48" s="159"/>
      <c r="ZJ48" s="159"/>
      <c r="ZK48" s="159"/>
      <c r="ZL48" s="159"/>
      <c r="ZM48" s="159"/>
      <c r="ZN48" s="159"/>
      <c r="ZO48" s="159"/>
      <c r="ZP48" s="159"/>
      <c r="ZQ48" s="159"/>
      <c r="ZR48" s="159"/>
      <c r="ZS48" s="159"/>
      <c r="ZT48" s="159"/>
      <c r="ZU48" s="159"/>
      <c r="ZV48" s="159"/>
      <c r="ZW48" s="159"/>
      <c r="ZX48" s="159"/>
      <c r="ZY48" s="159"/>
      <c r="ZZ48" s="159"/>
      <c r="AAA48" s="159"/>
      <c r="AAB48" s="159"/>
      <c r="AAC48" s="159"/>
      <c r="AAD48" s="159"/>
      <c r="AAE48" s="159"/>
      <c r="AAF48" s="159"/>
      <c r="AAG48" s="159"/>
      <c r="AAH48" s="159"/>
      <c r="AAI48" s="159"/>
      <c r="AAJ48" s="159"/>
      <c r="AAK48" s="159"/>
      <c r="AAL48" s="159"/>
      <c r="AAM48" s="159"/>
      <c r="AAN48" s="159"/>
      <c r="AAO48" s="159"/>
      <c r="AAP48" s="159"/>
      <c r="AAQ48" s="159"/>
      <c r="AAR48" s="159"/>
      <c r="AAS48" s="159"/>
      <c r="AAT48" s="159"/>
      <c r="AAU48" s="159"/>
      <c r="AAV48" s="159"/>
      <c r="AAW48" s="159"/>
      <c r="AAX48" s="159"/>
      <c r="AAY48" s="159"/>
      <c r="AAZ48" s="159"/>
      <c r="ABA48" s="159"/>
      <c r="ABB48" s="159"/>
      <c r="ABC48" s="159"/>
      <c r="ABD48" s="159"/>
      <c r="ABE48" s="159"/>
      <c r="ABF48" s="159"/>
      <c r="ABG48" s="159"/>
      <c r="ABH48" s="159"/>
      <c r="ABI48" s="159"/>
      <c r="ABJ48" s="159"/>
      <c r="ABK48" s="159"/>
      <c r="ABL48" s="159"/>
      <c r="ABM48" s="159"/>
      <c r="ABN48" s="159"/>
      <c r="ABO48" s="159"/>
      <c r="ABP48" s="159"/>
      <c r="ABQ48" s="159"/>
      <c r="ABR48" s="159"/>
      <c r="ABS48" s="159"/>
      <c r="ABT48" s="159"/>
      <c r="ABU48" s="159"/>
      <c r="ABV48" s="159"/>
      <c r="ABW48" s="159"/>
      <c r="ABX48" s="159"/>
      <c r="ABY48" s="159"/>
      <c r="ABZ48" s="159"/>
      <c r="ACA48" s="159"/>
      <c r="ACB48" s="159"/>
      <c r="ACC48" s="159"/>
      <c r="ACD48" s="159"/>
      <c r="ACE48" s="159"/>
      <c r="ACF48" s="159"/>
      <c r="ACG48" s="159"/>
      <c r="ACH48" s="159"/>
      <c r="ACI48" s="159"/>
      <c r="ACJ48" s="159"/>
      <c r="ACK48" s="159"/>
      <c r="ACL48" s="159"/>
      <c r="ACM48" s="159"/>
      <c r="ACN48" s="159"/>
      <c r="ACO48" s="159"/>
      <c r="ACP48" s="159"/>
      <c r="ACQ48" s="159"/>
      <c r="ACR48" s="159"/>
      <c r="ACS48" s="159"/>
      <c r="ACT48" s="159"/>
      <c r="ACU48" s="159"/>
      <c r="ACV48" s="159"/>
      <c r="ACW48" s="159"/>
      <c r="ACX48" s="159"/>
      <c r="ACY48" s="159"/>
      <c r="ACZ48" s="159"/>
      <c r="ADA48" s="159"/>
      <c r="ADB48" s="159"/>
      <c r="ADC48" s="159"/>
      <c r="ADD48" s="159"/>
      <c r="ADE48" s="159"/>
      <c r="ADF48" s="159"/>
      <c r="ADG48" s="159"/>
      <c r="ADH48" s="159"/>
      <c r="ADI48" s="159"/>
      <c r="ADJ48" s="159"/>
      <c r="ADK48" s="159"/>
      <c r="ADL48" s="159"/>
      <c r="ADM48" s="159"/>
      <c r="ADN48" s="159"/>
      <c r="ADO48" s="159"/>
      <c r="ADP48" s="159"/>
      <c r="ADQ48" s="159"/>
      <c r="ADR48" s="159"/>
      <c r="ADS48" s="159"/>
      <c r="ADT48" s="159"/>
      <c r="ADU48" s="159"/>
      <c r="ADV48" s="159"/>
      <c r="ADW48" s="159"/>
      <c r="ADX48" s="159"/>
      <c r="ADY48" s="159"/>
      <c r="ADZ48" s="159"/>
      <c r="AEA48" s="159"/>
      <c r="AEB48" s="159"/>
      <c r="AEC48" s="159"/>
      <c r="AED48" s="159"/>
      <c r="AEE48" s="159"/>
      <c r="AEF48" s="159"/>
      <c r="AEG48" s="159"/>
      <c r="AEH48" s="159"/>
      <c r="AEI48" s="159"/>
      <c r="AEJ48" s="159"/>
      <c r="AEK48" s="159"/>
      <c r="AEL48" s="159"/>
      <c r="AEM48" s="159"/>
      <c r="AEN48" s="159"/>
      <c r="AEO48" s="159"/>
      <c r="AEP48" s="159"/>
      <c r="AEQ48" s="159"/>
      <c r="AER48" s="159"/>
      <c r="AES48" s="159"/>
      <c r="AET48" s="159"/>
      <c r="AEU48" s="159"/>
      <c r="AEV48" s="159"/>
      <c r="AEW48" s="159"/>
      <c r="AEX48" s="159"/>
      <c r="AEY48" s="159"/>
      <c r="AEZ48" s="159"/>
      <c r="AFA48" s="159"/>
      <c r="AFB48" s="159"/>
      <c r="AFC48" s="159"/>
      <c r="AFD48" s="159"/>
      <c r="AFE48" s="159"/>
      <c r="AFF48" s="159"/>
      <c r="AFG48" s="159"/>
      <c r="AFH48" s="159"/>
      <c r="AFI48" s="159"/>
      <c r="AFJ48" s="159"/>
      <c r="AFK48" s="159"/>
      <c r="AFL48" s="159"/>
      <c r="AFM48" s="159"/>
      <c r="AFN48" s="159"/>
      <c r="AFO48" s="159"/>
      <c r="AFP48" s="159"/>
      <c r="AFQ48" s="159"/>
      <c r="AFR48" s="159"/>
      <c r="AFS48" s="159"/>
      <c r="AFT48" s="159"/>
      <c r="AFU48" s="159"/>
      <c r="AFV48" s="159"/>
      <c r="AFW48" s="159"/>
      <c r="AFX48" s="159"/>
      <c r="AFY48" s="159"/>
      <c r="AFZ48" s="159"/>
      <c r="AGA48" s="159"/>
      <c r="AGB48" s="159"/>
      <c r="AGC48" s="159"/>
      <c r="AGD48" s="159"/>
      <c r="AGE48" s="159"/>
      <c r="AGF48" s="159"/>
      <c r="AGG48" s="159"/>
      <c r="AGH48" s="159"/>
      <c r="AGI48" s="159"/>
      <c r="AGJ48" s="159"/>
      <c r="AGK48" s="159"/>
      <c r="AGL48" s="159"/>
      <c r="AGM48" s="159"/>
      <c r="AGN48" s="159"/>
      <c r="AGO48" s="159"/>
      <c r="AGP48" s="159"/>
      <c r="AGQ48" s="159"/>
      <c r="AGR48" s="159"/>
      <c r="AGS48" s="159"/>
      <c r="AGT48" s="159"/>
      <c r="AGU48" s="159"/>
      <c r="AGV48" s="159"/>
      <c r="AGW48" s="159"/>
      <c r="AGX48" s="159"/>
      <c r="AGY48" s="159"/>
      <c r="AGZ48" s="159"/>
      <c r="AHA48" s="159"/>
      <c r="AHB48" s="159"/>
      <c r="AHC48" s="159"/>
      <c r="AHD48" s="159"/>
      <c r="AHE48" s="159"/>
      <c r="AHF48" s="159"/>
      <c r="AHG48" s="159"/>
      <c r="AHH48" s="159"/>
      <c r="AHI48" s="159"/>
      <c r="AHJ48" s="159"/>
      <c r="AHK48" s="159"/>
      <c r="AHL48" s="159"/>
      <c r="AHM48" s="159"/>
      <c r="AHN48" s="159"/>
      <c r="AHO48" s="159"/>
      <c r="AHP48" s="159"/>
      <c r="AHQ48" s="159"/>
      <c r="AHR48" s="159"/>
      <c r="AHS48" s="159"/>
      <c r="AHT48" s="159"/>
      <c r="AHU48" s="159"/>
      <c r="AHV48" s="159"/>
      <c r="AHW48" s="159"/>
      <c r="AHX48" s="159"/>
      <c r="AHY48" s="159"/>
      <c r="AHZ48" s="159"/>
      <c r="AIA48" s="159"/>
      <c r="AIB48" s="159"/>
      <c r="AIC48" s="159"/>
      <c r="AID48" s="159"/>
      <c r="AIE48" s="159"/>
      <c r="AIF48" s="159"/>
      <c r="AIG48" s="159"/>
      <c r="AIH48" s="159"/>
      <c r="AII48" s="159"/>
      <c r="AIJ48" s="159"/>
      <c r="AIK48" s="159"/>
      <c r="AIL48" s="159"/>
      <c r="AIM48" s="159"/>
      <c r="AIN48" s="159"/>
      <c r="AIO48" s="159"/>
      <c r="AIP48" s="159"/>
      <c r="AIQ48" s="159"/>
      <c r="AIR48" s="159"/>
      <c r="AIS48" s="159"/>
      <c r="AIT48" s="159"/>
      <c r="AIU48" s="159"/>
      <c r="AIV48" s="159"/>
      <c r="AIW48" s="159"/>
      <c r="AIX48" s="159"/>
      <c r="AIY48" s="159"/>
      <c r="AIZ48" s="159"/>
      <c r="AJA48" s="159"/>
      <c r="AJB48" s="159"/>
      <c r="AJC48" s="159"/>
      <c r="AJD48" s="159"/>
      <c r="AJE48" s="159"/>
      <c r="AJF48" s="159"/>
      <c r="AJG48" s="159"/>
      <c r="AJH48" s="159"/>
      <c r="AJI48" s="159"/>
      <c r="AJJ48" s="159"/>
      <c r="AJK48" s="159"/>
      <c r="AJL48" s="159"/>
      <c r="AJM48" s="159"/>
      <c r="AJN48" s="159"/>
      <c r="AJO48" s="159"/>
      <c r="AJP48" s="159"/>
      <c r="AJQ48" s="159"/>
      <c r="AJR48" s="159"/>
      <c r="AJS48" s="159"/>
      <c r="AJT48" s="159"/>
      <c r="AJU48" s="159"/>
      <c r="AJV48" s="159"/>
      <c r="AJW48" s="159"/>
      <c r="AJX48" s="159"/>
      <c r="AJY48" s="159"/>
      <c r="AJZ48" s="159"/>
      <c r="AKA48" s="159"/>
      <c r="AKB48" s="159"/>
      <c r="AKC48" s="159"/>
      <c r="AKD48" s="159"/>
      <c r="AKE48" s="159"/>
      <c r="AKF48" s="159"/>
      <c r="AKG48" s="159"/>
      <c r="AKH48" s="159"/>
      <c r="AKI48" s="159"/>
      <c r="AKJ48" s="159"/>
      <c r="AKK48" s="159"/>
      <c r="AKL48" s="159"/>
      <c r="AKM48" s="159"/>
      <c r="AKN48" s="159"/>
      <c r="AKO48" s="159"/>
      <c r="AKP48" s="159"/>
      <c r="AKQ48" s="159"/>
      <c r="AKR48" s="159"/>
      <c r="AKS48" s="159"/>
      <c r="AKT48" s="159"/>
      <c r="AKU48" s="159"/>
      <c r="AKV48" s="159"/>
      <c r="AKW48" s="159"/>
      <c r="AKX48" s="159"/>
      <c r="AKY48" s="159"/>
      <c r="AKZ48" s="159"/>
      <c r="ALA48" s="159"/>
      <c r="ALB48" s="159"/>
      <c r="ALC48" s="159"/>
      <c r="ALD48" s="159"/>
      <c r="ALE48" s="159"/>
      <c r="ALF48" s="159"/>
      <c r="ALG48" s="159"/>
      <c r="ALH48" s="159"/>
      <c r="ALI48" s="159"/>
      <c r="ALJ48" s="159"/>
      <c r="ALK48" s="159"/>
      <c r="ALL48" s="159"/>
      <c r="ALM48" s="159"/>
      <c r="ALN48" s="159"/>
      <c r="ALO48" s="159"/>
      <c r="ALP48" s="159"/>
      <c r="ALQ48" s="159"/>
      <c r="ALR48" s="159"/>
      <c r="ALS48" s="159"/>
      <c r="ALT48" s="159"/>
      <c r="ALU48" s="159"/>
      <c r="ALV48" s="159"/>
      <c r="ALW48" s="159"/>
      <c r="ALX48" s="159"/>
      <c r="ALY48" s="159"/>
      <c r="ALZ48" s="159"/>
      <c r="AMA48" s="159"/>
      <c r="AMB48" s="159"/>
      <c r="AMC48" s="159"/>
      <c r="AMD48" s="159"/>
      <c r="AME48" s="159"/>
      <c r="AMF48" s="159"/>
      <c r="AMG48" s="159"/>
      <c r="AMH48" s="159"/>
      <c r="AMI48" s="159"/>
      <c r="AMJ48" s="159"/>
      <c r="AMK48" s="159"/>
      <c r="AML48" s="159"/>
      <c r="AMM48" s="159"/>
      <c r="AMN48" s="159"/>
      <c r="AMO48" s="159"/>
      <c r="AMP48" s="159"/>
      <c r="AMQ48" s="159"/>
      <c r="AMR48" s="159"/>
      <c r="AMS48" s="159"/>
      <c r="AMT48" s="159"/>
      <c r="AMU48" s="159"/>
      <c r="AMV48" s="159"/>
      <c r="AMW48" s="159"/>
      <c r="AMX48" s="159"/>
      <c r="AMY48" s="159"/>
      <c r="AMZ48" s="159"/>
      <c r="ANA48" s="159"/>
      <c r="ANB48" s="159"/>
      <c r="ANC48" s="159"/>
      <c r="AND48" s="159"/>
      <c r="ANE48" s="159"/>
      <c r="ANF48" s="159"/>
      <c r="ANG48" s="159"/>
      <c r="ANH48" s="159"/>
      <c r="ANI48" s="159"/>
      <c r="ANJ48" s="159"/>
      <c r="ANK48" s="159"/>
      <c r="ANL48" s="159"/>
      <c r="ANM48" s="159"/>
      <c r="ANN48" s="159"/>
      <c r="ANO48" s="159"/>
      <c r="ANP48" s="159"/>
      <c r="ANQ48" s="159"/>
      <c r="ANR48" s="159"/>
      <c r="ANS48" s="159"/>
      <c r="ANT48" s="159"/>
      <c r="ANU48" s="159"/>
      <c r="ANV48" s="159"/>
      <c r="ANW48" s="159"/>
      <c r="ANX48" s="159"/>
      <c r="ANY48" s="159"/>
      <c r="ANZ48" s="159"/>
      <c r="AOA48" s="159"/>
      <c r="AOB48" s="159"/>
      <c r="AOC48" s="159"/>
      <c r="AOD48" s="159"/>
      <c r="AOE48" s="159"/>
      <c r="AOF48" s="159"/>
      <c r="AOG48" s="159"/>
      <c r="AOH48" s="159"/>
      <c r="AOI48" s="159"/>
      <c r="AOJ48" s="159"/>
      <c r="AOK48" s="159"/>
      <c r="AOL48" s="159"/>
      <c r="AOM48" s="159"/>
      <c r="AON48" s="159"/>
      <c r="AOO48" s="159"/>
      <c r="AOP48" s="159"/>
      <c r="AOQ48" s="159"/>
      <c r="AOR48" s="159"/>
      <c r="AOS48" s="159"/>
      <c r="AOT48" s="159"/>
      <c r="AOU48" s="159"/>
      <c r="AOV48" s="159"/>
      <c r="AOW48" s="159"/>
      <c r="AOX48" s="159"/>
      <c r="AOY48" s="159"/>
      <c r="AOZ48" s="159"/>
      <c r="APA48" s="159"/>
      <c r="APB48" s="159"/>
      <c r="APC48" s="159"/>
      <c r="APD48" s="159"/>
      <c r="APE48" s="159"/>
      <c r="APF48" s="159"/>
      <c r="APG48" s="159"/>
      <c r="APH48" s="159"/>
      <c r="API48" s="159"/>
      <c r="APJ48" s="159"/>
      <c r="APK48" s="159"/>
      <c r="APL48" s="159"/>
      <c r="APM48" s="159"/>
      <c r="APN48" s="159"/>
      <c r="APO48" s="159"/>
      <c r="APP48" s="159"/>
      <c r="APQ48" s="159"/>
      <c r="APR48" s="159"/>
      <c r="APS48" s="159"/>
      <c r="APT48" s="159"/>
      <c r="APU48" s="159"/>
      <c r="APV48" s="159"/>
      <c r="APW48" s="159"/>
      <c r="APX48" s="159"/>
      <c r="APY48" s="159"/>
      <c r="APZ48" s="159"/>
      <c r="AQA48" s="159"/>
      <c r="AQB48" s="159"/>
      <c r="AQC48" s="159"/>
      <c r="AQD48" s="159"/>
      <c r="AQE48" s="159"/>
      <c r="AQF48" s="159"/>
      <c r="AQG48" s="159"/>
      <c r="AQH48" s="159"/>
      <c r="AQI48" s="159"/>
      <c r="AQJ48" s="159"/>
      <c r="AQK48" s="159"/>
      <c r="AQL48" s="159"/>
      <c r="AQM48" s="159"/>
      <c r="AQN48" s="159"/>
      <c r="AQO48" s="159"/>
      <c r="AQP48" s="159"/>
      <c r="AQQ48" s="159"/>
      <c r="AQR48" s="159"/>
      <c r="AQS48" s="159"/>
      <c r="AQT48" s="159"/>
      <c r="AQU48" s="159"/>
      <c r="AQV48" s="159"/>
      <c r="AQW48" s="159"/>
      <c r="AQX48" s="159"/>
      <c r="AQY48" s="159"/>
      <c r="AQZ48" s="159"/>
      <c r="ARA48" s="159"/>
      <c r="ARB48" s="159"/>
      <c r="ARC48" s="159"/>
      <c r="ARD48" s="159"/>
      <c r="ARE48" s="159"/>
      <c r="ARF48" s="159"/>
      <c r="ARG48" s="159"/>
      <c r="ARH48" s="159"/>
      <c r="ARI48" s="159"/>
      <c r="ARJ48" s="159"/>
      <c r="ARK48" s="159"/>
      <c r="ARL48" s="159"/>
      <c r="ARM48" s="159"/>
      <c r="ARN48" s="159"/>
      <c r="ARO48" s="159"/>
      <c r="ARP48" s="159"/>
      <c r="ARQ48" s="159"/>
      <c r="ARR48" s="159"/>
      <c r="ARS48" s="159"/>
      <c r="ART48" s="159"/>
      <c r="ARU48" s="159"/>
      <c r="ARV48" s="159"/>
      <c r="ARW48" s="159"/>
      <c r="ARX48" s="159"/>
      <c r="ARY48" s="159"/>
      <c r="ARZ48" s="159"/>
      <c r="ASA48" s="159"/>
      <c r="ASB48" s="159"/>
      <c r="ASC48" s="159"/>
      <c r="ASD48" s="159"/>
      <c r="ASE48" s="159"/>
      <c r="ASF48" s="159"/>
      <c r="ASG48" s="159"/>
      <c r="ASH48" s="159"/>
      <c r="ASI48" s="159"/>
      <c r="ASJ48" s="159"/>
      <c r="ASK48" s="159"/>
      <c r="ASL48" s="159"/>
      <c r="ASM48" s="159"/>
      <c r="ASN48" s="159"/>
      <c r="ASO48" s="159"/>
      <c r="ASP48" s="159"/>
      <c r="ASQ48" s="159"/>
      <c r="ASR48" s="159"/>
      <c r="ASS48" s="159"/>
      <c r="AST48" s="159"/>
      <c r="ASU48" s="159"/>
      <c r="ASV48" s="159"/>
      <c r="ASW48" s="159"/>
      <c r="ASX48" s="159"/>
      <c r="ASY48" s="159"/>
      <c r="ASZ48" s="159"/>
      <c r="ATA48" s="159"/>
      <c r="ATB48" s="159"/>
      <c r="ATC48" s="159"/>
      <c r="ATD48" s="159"/>
      <c r="ATE48" s="159"/>
      <c r="ATF48" s="159"/>
      <c r="ATG48" s="159"/>
      <c r="ATH48" s="159"/>
      <c r="ATI48" s="159"/>
      <c r="ATJ48" s="159"/>
      <c r="ATK48" s="159"/>
      <c r="ATL48" s="159"/>
      <c r="ATM48" s="159"/>
      <c r="ATN48" s="159"/>
      <c r="ATO48" s="159"/>
      <c r="ATP48" s="159"/>
      <c r="ATQ48" s="159"/>
      <c r="ATR48" s="159"/>
      <c r="ATS48" s="159"/>
      <c r="ATT48" s="159"/>
      <c r="ATU48" s="159"/>
      <c r="ATV48" s="159"/>
      <c r="ATW48" s="159"/>
      <c r="ATX48" s="159"/>
      <c r="ATY48" s="159"/>
      <c r="ATZ48" s="159"/>
      <c r="AUA48" s="159"/>
      <c r="AUB48" s="159"/>
      <c r="AUC48" s="159"/>
      <c r="AUD48" s="159"/>
      <c r="AUE48" s="159"/>
      <c r="AUF48" s="159"/>
      <c r="AUG48" s="159"/>
      <c r="AUH48" s="159"/>
      <c r="AUI48" s="159"/>
      <c r="AUJ48" s="159"/>
      <c r="AUK48" s="159"/>
      <c r="AUL48" s="159"/>
      <c r="AUM48" s="159"/>
      <c r="AUN48" s="159"/>
      <c r="AUO48" s="159"/>
      <c r="AUP48" s="159"/>
      <c r="AUQ48" s="159"/>
      <c r="AUR48" s="159"/>
      <c r="AUS48" s="159"/>
      <c r="AUT48" s="159"/>
      <c r="AUU48" s="159"/>
      <c r="AUV48" s="159"/>
      <c r="AUW48" s="159"/>
      <c r="AUX48" s="159"/>
      <c r="AUY48" s="159"/>
      <c r="AUZ48" s="159"/>
      <c r="AVA48" s="159"/>
      <c r="AVB48" s="159"/>
      <c r="AVC48" s="159"/>
      <c r="AVD48" s="159"/>
      <c r="AVE48" s="159"/>
      <c r="AVF48" s="159"/>
      <c r="AVG48" s="159"/>
      <c r="AVH48" s="159"/>
      <c r="AVI48" s="159"/>
      <c r="AVJ48" s="159"/>
      <c r="AVK48" s="159"/>
      <c r="AVL48" s="159"/>
      <c r="AVM48" s="159"/>
      <c r="AVN48" s="159"/>
      <c r="AVO48" s="159"/>
      <c r="AVP48" s="159"/>
      <c r="AVQ48" s="159"/>
      <c r="AVR48" s="159"/>
      <c r="AVS48" s="159"/>
      <c r="AVT48" s="159"/>
      <c r="AVU48" s="159"/>
      <c r="AVV48" s="159"/>
      <c r="AVW48" s="159"/>
      <c r="AVX48" s="159"/>
      <c r="AVY48" s="159"/>
      <c r="AVZ48" s="159"/>
      <c r="AWA48" s="159"/>
      <c r="AWB48" s="159"/>
      <c r="AWC48" s="159"/>
      <c r="AWD48" s="159"/>
      <c r="AWE48" s="159"/>
      <c r="AWF48" s="159"/>
      <c r="AWG48" s="159"/>
      <c r="AWH48" s="159"/>
      <c r="AWI48" s="159"/>
      <c r="AWJ48" s="159"/>
      <c r="AWK48" s="159"/>
      <c r="AWL48" s="159"/>
      <c r="AWM48" s="159"/>
      <c r="AWN48" s="159"/>
      <c r="AWO48" s="159"/>
      <c r="AWP48" s="159"/>
      <c r="AWQ48" s="159"/>
      <c r="AWR48" s="159"/>
      <c r="AWS48" s="159"/>
      <c r="AWT48" s="159"/>
      <c r="AWU48" s="159"/>
      <c r="AWV48" s="159"/>
      <c r="AWW48" s="159"/>
      <c r="AWX48" s="159"/>
      <c r="AWY48" s="159"/>
      <c r="AWZ48" s="159"/>
      <c r="AXA48" s="159"/>
      <c r="AXB48" s="159"/>
      <c r="AXC48" s="159"/>
      <c r="AXD48" s="159"/>
      <c r="AXE48" s="159"/>
      <c r="AXF48" s="159"/>
      <c r="AXG48" s="159"/>
      <c r="AXH48" s="159"/>
      <c r="AXI48" s="159"/>
      <c r="AXJ48" s="159"/>
      <c r="AXK48" s="159"/>
      <c r="AXL48" s="159"/>
      <c r="AXM48" s="159"/>
      <c r="AXN48" s="159"/>
      <c r="AXO48" s="159"/>
      <c r="AXP48" s="159"/>
      <c r="AXQ48" s="159"/>
      <c r="AXR48" s="159"/>
      <c r="AXS48" s="159"/>
      <c r="AXT48" s="159"/>
      <c r="AXU48" s="159"/>
      <c r="AXV48" s="159"/>
      <c r="AXW48" s="159"/>
      <c r="AXX48" s="159"/>
      <c r="AXY48" s="159"/>
      <c r="AXZ48" s="159"/>
      <c r="AYA48" s="159"/>
      <c r="AYB48" s="159"/>
      <c r="AYC48" s="159"/>
      <c r="AYD48" s="159"/>
      <c r="AYE48" s="159"/>
      <c r="AYF48" s="159"/>
      <c r="AYG48" s="159"/>
      <c r="AYH48" s="159"/>
      <c r="AYI48" s="159"/>
      <c r="AYJ48" s="159"/>
      <c r="AYK48" s="159"/>
      <c r="AYL48" s="159"/>
      <c r="AYM48" s="159"/>
      <c r="AYN48" s="159"/>
      <c r="AYO48" s="159"/>
      <c r="AYP48" s="159"/>
      <c r="AYQ48" s="159"/>
      <c r="AYR48" s="159"/>
      <c r="AYS48" s="159"/>
      <c r="AYT48" s="159"/>
      <c r="AYU48" s="159"/>
      <c r="AYV48" s="159"/>
      <c r="AYW48" s="159"/>
      <c r="AYX48" s="159"/>
      <c r="AYY48" s="159"/>
      <c r="AYZ48" s="159"/>
      <c r="AZA48" s="159"/>
      <c r="AZB48" s="159"/>
      <c r="AZC48" s="159"/>
      <c r="AZD48" s="159"/>
      <c r="AZE48" s="159"/>
      <c r="AZF48" s="159"/>
      <c r="AZG48" s="159"/>
      <c r="AZH48" s="159"/>
      <c r="AZI48" s="159"/>
      <c r="AZJ48" s="159"/>
      <c r="AZK48" s="159"/>
      <c r="AZL48" s="159"/>
      <c r="AZM48" s="159"/>
      <c r="AZN48" s="159"/>
      <c r="AZO48" s="159"/>
      <c r="AZP48" s="159"/>
      <c r="AZQ48" s="159"/>
      <c r="AZR48" s="159"/>
      <c r="AZS48" s="159"/>
      <c r="AZT48" s="159"/>
      <c r="AZU48" s="159"/>
      <c r="AZV48" s="159"/>
      <c r="AZW48" s="159"/>
      <c r="AZX48" s="159"/>
      <c r="AZY48" s="159"/>
      <c r="AZZ48" s="159"/>
      <c r="BAA48" s="159"/>
      <c r="BAB48" s="159"/>
      <c r="BAC48" s="159"/>
      <c r="BAD48" s="159"/>
      <c r="BAE48" s="159"/>
      <c r="BAF48" s="159"/>
      <c r="BAG48" s="159"/>
      <c r="BAH48" s="159"/>
      <c r="BAI48" s="159"/>
      <c r="BAJ48" s="159"/>
      <c r="BAK48" s="159"/>
      <c r="BAL48" s="159"/>
      <c r="BAM48" s="159"/>
      <c r="BAN48" s="159"/>
      <c r="BAO48" s="159"/>
      <c r="BAP48" s="159"/>
      <c r="BAQ48" s="159"/>
      <c r="BAR48" s="159"/>
      <c r="BAS48" s="159"/>
      <c r="BAT48" s="159"/>
      <c r="BAU48" s="159"/>
      <c r="BAV48" s="159"/>
      <c r="BAW48" s="159"/>
      <c r="BAX48" s="159"/>
      <c r="BAY48" s="159"/>
      <c r="BAZ48" s="159"/>
      <c r="BBA48" s="159"/>
      <c r="BBB48" s="159"/>
      <c r="BBC48" s="159"/>
      <c r="BBD48" s="159"/>
      <c r="BBE48" s="159"/>
      <c r="BBF48" s="159"/>
      <c r="BBG48" s="159"/>
      <c r="BBH48" s="159"/>
      <c r="BBI48" s="159"/>
      <c r="BBJ48" s="159"/>
      <c r="BBK48" s="159"/>
      <c r="BBL48" s="159"/>
      <c r="BBM48" s="159"/>
      <c r="BBN48" s="159"/>
      <c r="BBO48" s="159"/>
      <c r="BBP48" s="159"/>
      <c r="BBQ48" s="159"/>
      <c r="BBR48" s="159"/>
      <c r="BBS48" s="159"/>
      <c r="BBT48" s="159"/>
      <c r="BBU48" s="159"/>
      <c r="BBV48" s="159"/>
      <c r="BBW48" s="159"/>
      <c r="BBX48" s="159"/>
      <c r="BBY48" s="159"/>
      <c r="BBZ48" s="159"/>
      <c r="BCA48" s="159"/>
      <c r="BCB48" s="159"/>
      <c r="BCC48" s="159"/>
      <c r="BCD48" s="159"/>
      <c r="BCE48" s="159"/>
      <c r="BCF48" s="159"/>
      <c r="BCG48" s="159"/>
      <c r="BCH48" s="159"/>
      <c r="BCI48" s="159"/>
      <c r="BCJ48" s="159"/>
      <c r="BCK48" s="159"/>
      <c r="BCL48" s="159"/>
      <c r="BCM48" s="159"/>
      <c r="BCN48" s="159"/>
      <c r="BCO48" s="159"/>
      <c r="BCP48" s="159"/>
      <c r="BCQ48" s="159"/>
      <c r="BCR48" s="159"/>
      <c r="BCS48" s="159"/>
      <c r="BCT48" s="159"/>
      <c r="BCU48" s="159"/>
      <c r="BCV48" s="159"/>
      <c r="BCW48" s="159"/>
      <c r="BCX48" s="159"/>
      <c r="BCY48" s="159"/>
      <c r="BCZ48" s="159"/>
      <c r="BDA48" s="159"/>
      <c r="BDB48" s="159"/>
      <c r="BDC48" s="159"/>
      <c r="BDD48" s="159"/>
      <c r="BDE48" s="159"/>
      <c r="BDF48" s="159"/>
      <c r="BDG48" s="159"/>
      <c r="BDH48" s="159"/>
      <c r="BDI48" s="159"/>
      <c r="BDJ48" s="159"/>
      <c r="BDK48" s="159"/>
      <c r="BDL48" s="159"/>
      <c r="BDM48" s="159"/>
      <c r="BDN48" s="159"/>
      <c r="BDO48" s="159"/>
      <c r="BDP48" s="159"/>
      <c r="BDQ48" s="159"/>
      <c r="BDR48" s="159"/>
      <c r="BDS48" s="159"/>
      <c r="BDT48" s="159"/>
      <c r="BDU48" s="159"/>
      <c r="BDV48" s="159"/>
      <c r="BDW48" s="159"/>
      <c r="BDX48" s="159"/>
      <c r="BDY48" s="159"/>
      <c r="BDZ48" s="159"/>
      <c r="BEA48" s="159"/>
      <c r="BEB48" s="159"/>
      <c r="BEC48" s="159"/>
      <c r="BED48" s="159"/>
      <c r="BEE48" s="159"/>
      <c r="BEF48" s="159"/>
      <c r="BEG48" s="159"/>
      <c r="BEH48" s="159"/>
      <c r="BEI48" s="159"/>
      <c r="BEJ48" s="159"/>
      <c r="BEK48" s="159"/>
      <c r="BEL48" s="159"/>
      <c r="BEM48" s="159"/>
      <c r="BEN48" s="159"/>
      <c r="BEO48" s="159"/>
      <c r="BEP48" s="159"/>
      <c r="BEQ48" s="159"/>
      <c r="BER48" s="159"/>
      <c r="BES48" s="159"/>
      <c r="BET48" s="159"/>
      <c r="BEU48" s="159"/>
      <c r="BEV48" s="159"/>
      <c r="BEW48" s="159"/>
      <c r="BEX48" s="159"/>
      <c r="BEY48" s="159"/>
      <c r="BEZ48" s="159"/>
      <c r="BFA48" s="159"/>
      <c r="BFB48" s="159"/>
      <c r="BFC48" s="159"/>
      <c r="BFD48" s="159"/>
      <c r="BFE48" s="159"/>
      <c r="BFF48" s="159"/>
      <c r="BFG48" s="159"/>
      <c r="BFH48" s="159"/>
      <c r="BFI48" s="159"/>
      <c r="BFJ48" s="159"/>
      <c r="BFK48" s="159"/>
      <c r="BFL48" s="159"/>
      <c r="BFM48" s="159"/>
      <c r="BFN48" s="159"/>
      <c r="BFO48" s="159"/>
      <c r="BFP48" s="159"/>
      <c r="BFQ48" s="159"/>
      <c r="BFR48" s="159"/>
      <c r="BFS48" s="159"/>
      <c r="BFT48" s="159"/>
      <c r="BFU48" s="159"/>
      <c r="BFV48" s="159"/>
      <c r="BFW48" s="159"/>
      <c r="BFX48" s="159"/>
      <c r="BFY48" s="159"/>
      <c r="BFZ48" s="159"/>
      <c r="BGA48" s="159"/>
      <c r="BGB48" s="159"/>
      <c r="BGC48" s="159"/>
      <c r="BGD48" s="159"/>
      <c r="BGE48" s="159"/>
      <c r="BGF48" s="159"/>
      <c r="BGG48" s="159"/>
      <c r="BGH48" s="159"/>
      <c r="BGI48" s="159"/>
      <c r="BGJ48" s="159"/>
      <c r="BGK48" s="159"/>
      <c r="BGL48" s="159"/>
      <c r="BGM48" s="159"/>
      <c r="BGN48" s="159"/>
      <c r="BGO48" s="159"/>
      <c r="BGP48" s="159"/>
      <c r="BGQ48" s="159"/>
      <c r="BGR48" s="159"/>
      <c r="BGS48" s="159"/>
      <c r="BGT48" s="159"/>
      <c r="BGU48" s="159"/>
      <c r="BGV48" s="159"/>
      <c r="BGW48" s="159"/>
      <c r="BGX48" s="159"/>
      <c r="BGY48" s="159"/>
      <c r="BGZ48" s="159"/>
      <c r="BHA48" s="159"/>
      <c r="BHB48" s="159"/>
      <c r="BHC48" s="159"/>
      <c r="BHD48" s="159"/>
      <c r="BHE48" s="159"/>
      <c r="BHF48" s="159"/>
      <c r="BHG48" s="159"/>
      <c r="BHH48" s="159"/>
      <c r="BHI48" s="159"/>
      <c r="BHJ48" s="159"/>
      <c r="BHK48" s="159"/>
      <c r="BHL48" s="159"/>
      <c r="BHM48" s="159"/>
      <c r="BHN48" s="159"/>
      <c r="BHO48" s="159"/>
      <c r="BHP48" s="159"/>
      <c r="BHQ48" s="159"/>
      <c r="BHR48" s="159"/>
      <c r="BHS48" s="159"/>
      <c r="BHT48" s="159"/>
      <c r="BHU48" s="159"/>
      <c r="BHV48" s="159"/>
      <c r="BHW48" s="159"/>
      <c r="BHX48" s="159"/>
      <c r="BHY48" s="159"/>
      <c r="BHZ48" s="159"/>
      <c r="BIA48" s="159"/>
      <c r="BIB48" s="159"/>
      <c r="BIC48" s="159"/>
      <c r="BID48" s="159"/>
      <c r="BIE48" s="159"/>
      <c r="BIF48" s="159"/>
      <c r="BIG48" s="159"/>
      <c r="BIH48" s="159"/>
      <c r="BII48" s="159"/>
      <c r="BIJ48" s="159"/>
      <c r="BIK48" s="159"/>
      <c r="BIL48" s="159"/>
      <c r="BIM48" s="159"/>
      <c r="BIN48" s="159"/>
      <c r="BIO48" s="159"/>
      <c r="BIP48" s="159"/>
      <c r="BIQ48" s="159"/>
      <c r="BIR48" s="159"/>
      <c r="BIS48" s="159"/>
      <c r="BIT48" s="159"/>
      <c r="BIU48" s="159"/>
      <c r="BIV48" s="159"/>
      <c r="BIW48" s="159"/>
      <c r="BIX48" s="159"/>
      <c r="BIY48" s="159"/>
      <c r="BIZ48" s="159"/>
      <c r="BJA48" s="159"/>
      <c r="BJB48" s="159"/>
      <c r="BJC48" s="159"/>
      <c r="BJD48" s="159"/>
      <c r="BJE48" s="159"/>
      <c r="BJF48" s="159"/>
      <c r="BJG48" s="159"/>
      <c r="BJH48" s="159"/>
      <c r="BJI48" s="159"/>
      <c r="BJJ48" s="159"/>
      <c r="BJK48" s="159"/>
      <c r="BJL48" s="159"/>
      <c r="BJM48" s="159"/>
      <c r="BJN48" s="159"/>
      <c r="BJO48" s="159"/>
      <c r="BJP48" s="159"/>
      <c r="BJQ48" s="159"/>
      <c r="BJR48" s="159"/>
      <c r="BJS48" s="159"/>
      <c r="BJT48" s="159"/>
      <c r="BJU48" s="159"/>
      <c r="BJV48" s="159"/>
      <c r="BJW48" s="159"/>
      <c r="BJX48" s="159"/>
      <c r="BJY48" s="159"/>
      <c r="BJZ48" s="159"/>
      <c r="BKA48" s="159"/>
      <c r="BKB48" s="159"/>
      <c r="BKC48" s="159"/>
      <c r="BKD48" s="159"/>
      <c r="BKE48" s="159"/>
      <c r="BKF48" s="159"/>
      <c r="BKG48" s="159"/>
      <c r="BKH48" s="159"/>
      <c r="BKI48" s="159"/>
      <c r="BKJ48" s="159"/>
      <c r="BKK48" s="159"/>
      <c r="BKL48" s="159"/>
      <c r="BKM48" s="159"/>
      <c r="BKN48" s="159"/>
      <c r="BKO48" s="159"/>
      <c r="BKP48" s="159"/>
      <c r="BKQ48" s="159"/>
      <c r="BKR48" s="159"/>
      <c r="BKS48" s="159"/>
      <c r="BKT48" s="159"/>
      <c r="BKU48" s="159"/>
      <c r="BKV48" s="159"/>
      <c r="BKW48" s="159"/>
      <c r="BKX48" s="159"/>
      <c r="BKY48" s="159"/>
      <c r="BKZ48" s="159"/>
      <c r="BLA48" s="159"/>
      <c r="BLB48" s="159"/>
      <c r="BLC48" s="159"/>
      <c r="BLD48" s="159"/>
      <c r="BLE48" s="159"/>
      <c r="BLF48" s="159"/>
      <c r="BLG48" s="159"/>
      <c r="BLH48" s="159"/>
      <c r="BLI48" s="159"/>
      <c r="BLJ48" s="159"/>
      <c r="BLK48" s="159"/>
      <c r="BLL48" s="159"/>
      <c r="BLM48" s="159"/>
      <c r="BLN48" s="159"/>
      <c r="BLO48" s="159"/>
      <c r="BLP48" s="159"/>
      <c r="BLQ48" s="159"/>
      <c r="BLR48" s="159"/>
      <c r="BLS48" s="159"/>
      <c r="BLT48" s="159"/>
      <c r="BLU48" s="159"/>
      <c r="BLV48" s="159"/>
      <c r="BLW48" s="159"/>
      <c r="BLX48" s="159"/>
      <c r="BLY48" s="159"/>
      <c r="BLZ48" s="159"/>
      <c r="BMA48" s="159"/>
      <c r="BMB48" s="159"/>
      <c r="BMC48" s="159"/>
      <c r="BMD48" s="159"/>
      <c r="BME48" s="159"/>
      <c r="BMF48" s="159"/>
      <c r="BMG48" s="159"/>
      <c r="BMH48" s="159"/>
      <c r="BMI48" s="159"/>
      <c r="BMJ48" s="159"/>
      <c r="BMK48" s="159"/>
      <c r="BML48" s="159"/>
      <c r="BMM48" s="159"/>
      <c r="BMN48" s="159"/>
      <c r="BMO48" s="159"/>
      <c r="BMP48" s="159"/>
      <c r="BMQ48" s="159"/>
      <c r="BMR48" s="159"/>
      <c r="BMS48" s="159"/>
      <c r="BMT48" s="159"/>
      <c r="BMU48" s="159"/>
      <c r="BMV48" s="159"/>
      <c r="BMW48" s="159"/>
      <c r="BMX48" s="159"/>
      <c r="BMY48" s="159"/>
      <c r="BMZ48" s="159"/>
      <c r="BNA48" s="159"/>
      <c r="BNB48" s="159"/>
      <c r="BNC48" s="159"/>
      <c r="BND48" s="159"/>
      <c r="BNE48" s="159"/>
      <c r="BNF48" s="159"/>
      <c r="BNG48" s="159"/>
      <c r="BNH48" s="159"/>
      <c r="BNI48" s="159"/>
      <c r="BNJ48" s="159"/>
      <c r="BNK48" s="159"/>
      <c r="BNL48" s="159"/>
      <c r="BNM48" s="159"/>
      <c r="BNN48" s="159"/>
      <c r="BNO48" s="159"/>
      <c r="BNP48" s="159"/>
      <c r="BNQ48" s="159"/>
      <c r="BNR48" s="159"/>
      <c r="BNS48" s="159"/>
      <c r="BNT48" s="159"/>
      <c r="BNU48" s="159"/>
      <c r="BNV48" s="159"/>
      <c r="BNW48" s="159"/>
      <c r="BNX48" s="159"/>
      <c r="BNY48" s="159"/>
      <c r="BNZ48" s="159"/>
      <c r="BOA48" s="159"/>
      <c r="BOB48" s="159"/>
      <c r="BOC48" s="159"/>
      <c r="BOD48" s="159"/>
      <c r="BOE48" s="159"/>
      <c r="BOF48" s="159"/>
      <c r="BOG48" s="159"/>
      <c r="BOH48" s="159"/>
      <c r="BOI48" s="159"/>
      <c r="BOJ48" s="159"/>
      <c r="BOK48" s="159"/>
      <c r="BOL48" s="159"/>
      <c r="BOM48" s="159"/>
      <c r="BON48" s="159"/>
      <c r="BOO48" s="159"/>
      <c r="BOP48" s="159"/>
      <c r="BOQ48" s="159"/>
      <c r="BOR48" s="159"/>
      <c r="BOS48" s="159"/>
      <c r="BOT48" s="159"/>
      <c r="BOU48" s="159"/>
      <c r="BOV48" s="159"/>
      <c r="BOW48" s="159"/>
      <c r="BOX48" s="159"/>
      <c r="BOY48" s="159"/>
      <c r="BOZ48" s="159"/>
      <c r="BPA48" s="159"/>
      <c r="BPB48" s="159"/>
      <c r="BPC48" s="159"/>
      <c r="BPD48" s="159"/>
      <c r="BPE48" s="159"/>
      <c r="BPF48" s="159"/>
      <c r="BPG48" s="159"/>
      <c r="BPH48" s="159"/>
      <c r="BPI48" s="159"/>
      <c r="BPJ48" s="159"/>
      <c r="BPK48" s="159"/>
      <c r="BPL48" s="159"/>
      <c r="BPM48" s="159"/>
      <c r="BPN48" s="159"/>
      <c r="BPO48" s="159"/>
      <c r="BPP48" s="159"/>
      <c r="BPQ48" s="159"/>
      <c r="BPR48" s="159"/>
      <c r="BPS48" s="159"/>
      <c r="BPT48" s="159"/>
      <c r="BPU48" s="159"/>
      <c r="BPV48" s="159"/>
      <c r="BPW48" s="159"/>
      <c r="BPX48" s="159"/>
      <c r="BPY48" s="159"/>
      <c r="BPZ48" s="159"/>
      <c r="BQA48" s="159"/>
      <c r="BQB48" s="159"/>
      <c r="BQC48" s="159"/>
      <c r="BQD48" s="159"/>
      <c r="BQE48" s="159"/>
      <c r="BQF48" s="159"/>
      <c r="BQG48" s="159"/>
      <c r="BQH48" s="159"/>
      <c r="BQI48" s="159"/>
      <c r="BQJ48" s="159"/>
      <c r="BQK48" s="159"/>
      <c r="BQL48" s="159"/>
      <c r="BQM48" s="159"/>
      <c r="BQN48" s="159"/>
      <c r="BQO48" s="159"/>
      <c r="BQP48" s="159"/>
      <c r="BQQ48" s="159"/>
      <c r="BQR48" s="159"/>
      <c r="BQS48" s="159"/>
      <c r="BQT48" s="159"/>
      <c r="BQU48" s="159"/>
      <c r="BQV48" s="159"/>
      <c r="BQW48" s="159"/>
      <c r="BQX48" s="159"/>
      <c r="BQY48" s="159"/>
      <c r="BQZ48" s="159"/>
      <c r="BRA48" s="159"/>
      <c r="BRB48" s="159"/>
      <c r="BRC48" s="159"/>
      <c r="BRD48" s="159"/>
      <c r="BRE48" s="159"/>
      <c r="BRF48" s="159"/>
      <c r="BRG48" s="159"/>
      <c r="BRH48" s="159"/>
      <c r="BRI48" s="159"/>
      <c r="BRJ48" s="159"/>
      <c r="BRK48" s="159"/>
      <c r="BRL48" s="159"/>
      <c r="BRM48" s="159"/>
      <c r="BRN48" s="159"/>
      <c r="BRO48" s="159"/>
      <c r="BRP48" s="159"/>
      <c r="BRQ48" s="159"/>
      <c r="BRR48" s="159"/>
      <c r="BRS48" s="159"/>
      <c r="BRT48" s="159"/>
      <c r="BRU48" s="159"/>
      <c r="BRV48" s="159"/>
      <c r="BRW48" s="159"/>
      <c r="BRX48" s="159"/>
      <c r="BRY48" s="159"/>
      <c r="BRZ48" s="159"/>
      <c r="BSA48" s="159"/>
      <c r="BSB48" s="159"/>
      <c r="BSC48" s="159"/>
      <c r="BSD48" s="159"/>
      <c r="BSE48" s="159"/>
      <c r="BSF48" s="159"/>
      <c r="BSG48" s="159"/>
      <c r="BSH48" s="159"/>
      <c r="BSI48" s="159"/>
      <c r="BSJ48" s="159"/>
      <c r="BSK48" s="159"/>
      <c r="BSL48" s="159"/>
      <c r="BSM48" s="159"/>
      <c r="BSN48" s="159"/>
      <c r="BSO48" s="159"/>
      <c r="BSP48" s="159"/>
      <c r="BSQ48" s="159"/>
      <c r="BSR48" s="159"/>
      <c r="BSS48" s="159"/>
      <c r="BST48" s="159"/>
      <c r="BSU48" s="159"/>
      <c r="BSV48" s="159"/>
      <c r="BSW48" s="159"/>
      <c r="BSX48" s="159"/>
      <c r="BSY48" s="159"/>
      <c r="BSZ48" s="159"/>
      <c r="BTA48" s="159"/>
      <c r="BTB48" s="159"/>
      <c r="BTC48" s="159"/>
      <c r="BTD48" s="159"/>
      <c r="BTE48" s="159"/>
      <c r="BTF48" s="159"/>
      <c r="BTG48" s="159"/>
      <c r="BTH48" s="159"/>
      <c r="BTI48" s="159"/>
      <c r="BTJ48" s="159"/>
      <c r="BTK48" s="159"/>
      <c r="BTL48" s="159"/>
      <c r="BTM48" s="159"/>
      <c r="BTN48" s="159"/>
      <c r="BTO48" s="159"/>
      <c r="BTP48" s="159"/>
      <c r="BTQ48" s="159"/>
      <c r="BTR48" s="159"/>
      <c r="BTS48" s="159"/>
      <c r="BTT48" s="159"/>
      <c r="BTU48" s="159"/>
      <c r="BTV48" s="159"/>
      <c r="BTW48" s="159"/>
      <c r="BTX48" s="159"/>
      <c r="BTY48" s="159"/>
      <c r="BTZ48" s="159"/>
      <c r="BUA48" s="159"/>
      <c r="BUB48" s="159"/>
      <c r="BUC48" s="159"/>
      <c r="BUD48" s="159"/>
      <c r="BUE48" s="159"/>
      <c r="BUF48" s="159"/>
      <c r="BUG48" s="159"/>
      <c r="BUH48" s="159"/>
      <c r="BUI48" s="159"/>
      <c r="BUJ48" s="159"/>
      <c r="BUK48" s="159"/>
      <c r="BUL48" s="159"/>
      <c r="BUM48" s="159"/>
      <c r="BUN48" s="159"/>
      <c r="BUO48" s="159"/>
      <c r="BUP48" s="159"/>
      <c r="BUQ48" s="159"/>
      <c r="BUR48" s="159"/>
      <c r="BUS48" s="159"/>
      <c r="BUT48" s="159"/>
      <c r="BUU48" s="159"/>
      <c r="BUV48" s="159"/>
      <c r="BUW48" s="159"/>
      <c r="BUX48" s="159"/>
      <c r="BUY48" s="159"/>
      <c r="BUZ48" s="159"/>
      <c r="BVA48" s="159"/>
      <c r="BVB48" s="159"/>
      <c r="BVC48" s="159"/>
      <c r="BVD48" s="159"/>
      <c r="BVE48" s="159"/>
      <c r="BVF48" s="159"/>
      <c r="BVG48" s="159"/>
      <c r="BVH48" s="159"/>
      <c r="BVI48" s="159"/>
      <c r="BVJ48" s="159"/>
      <c r="BVK48" s="159"/>
      <c r="BVL48" s="159"/>
      <c r="BVM48" s="159"/>
      <c r="BVN48" s="159"/>
      <c r="BVO48" s="159"/>
      <c r="BVP48" s="159"/>
      <c r="BVQ48" s="159"/>
      <c r="BVR48" s="159"/>
      <c r="BVS48" s="159"/>
      <c r="BVT48" s="159"/>
      <c r="BVU48" s="159"/>
      <c r="BVV48" s="159"/>
      <c r="BVW48" s="159"/>
      <c r="BVX48" s="159"/>
      <c r="BVY48" s="159"/>
      <c r="BVZ48" s="159"/>
      <c r="BWA48" s="159"/>
      <c r="BWB48" s="159"/>
      <c r="BWC48" s="159"/>
      <c r="BWD48" s="159"/>
      <c r="BWE48" s="159"/>
      <c r="BWF48" s="159"/>
      <c r="BWG48" s="159"/>
      <c r="BWH48" s="159"/>
      <c r="BWI48" s="159"/>
      <c r="BWJ48" s="159"/>
      <c r="BWK48" s="159"/>
      <c r="BWL48" s="159"/>
      <c r="BWM48" s="159"/>
      <c r="BWN48" s="159"/>
      <c r="BWO48" s="159"/>
      <c r="BWP48" s="159"/>
      <c r="BWQ48" s="159"/>
      <c r="BWR48" s="159"/>
      <c r="BWS48" s="159"/>
      <c r="BWT48" s="159"/>
      <c r="BWU48" s="159"/>
      <c r="BWV48" s="159"/>
      <c r="BWW48" s="159"/>
      <c r="BWX48" s="159"/>
      <c r="BWY48" s="159"/>
      <c r="BWZ48" s="159"/>
      <c r="BXA48" s="159"/>
      <c r="BXB48" s="159"/>
      <c r="BXC48" s="159"/>
      <c r="BXD48" s="159"/>
      <c r="BXE48" s="159"/>
      <c r="BXF48" s="159"/>
      <c r="BXG48" s="159"/>
      <c r="BXH48" s="159"/>
      <c r="BXI48" s="159"/>
      <c r="BXJ48" s="159"/>
      <c r="BXK48" s="159"/>
      <c r="BXL48" s="159"/>
      <c r="BXM48" s="159"/>
      <c r="BXN48" s="159"/>
      <c r="BXO48" s="159"/>
      <c r="BXP48" s="159"/>
      <c r="BXQ48" s="159"/>
      <c r="BXR48" s="159"/>
      <c r="BXS48" s="159"/>
      <c r="BXT48" s="159"/>
      <c r="BXU48" s="159"/>
      <c r="BXV48" s="159"/>
      <c r="BXW48" s="159"/>
      <c r="BXX48" s="159"/>
      <c r="BXY48" s="159"/>
      <c r="BXZ48" s="159"/>
      <c r="BYA48" s="159"/>
      <c r="BYB48" s="159"/>
      <c r="BYC48" s="159"/>
      <c r="BYD48" s="159"/>
      <c r="BYE48" s="159"/>
      <c r="BYF48" s="159"/>
      <c r="BYG48" s="159"/>
      <c r="BYH48" s="159"/>
      <c r="BYI48" s="159"/>
      <c r="BYJ48" s="159"/>
      <c r="BYK48" s="159"/>
      <c r="BYL48" s="159"/>
      <c r="BYM48" s="159"/>
      <c r="BYN48" s="159"/>
      <c r="BYO48" s="159"/>
      <c r="BYP48" s="159"/>
      <c r="BYQ48" s="159"/>
      <c r="BYR48" s="159"/>
      <c r="BYS48" s="159"/>
      <c r="BYT48" s="159"/>
      <c r="BYU48" s="159"/>
      <c r="BYV48" s="159"/>
      <c r="BYW48" s="159"/>
      <c r="BYX48" s="159"/>
      <c r="BYY48" s="159"/>
      <c r="BYZ48" s="159"/>
      <c r="BZA48" s="159"/>
      <c r="BZB48" s="159"/>
      <c r="BZC48" s="159"/>
      <c r="BZD48" s="159"/>
      <c r="BZE48" s="159"/>
      <c r="BZF48" s="159"/>
      <c r="BZG48" s="159"/>
      <c r="BZH48" s="159"/>
      <c r="BZI48" s="159"/>
      <c r="BZJ48" s="159"/>
      <c r="BZK48" s="159"/>
      <c r="BZL48" s="159"/>
      <c r="BZM48" s="159"/>
      <c r="BZN48" s="159"/>
      <c r="BZO48" s="159"/>
      <c r="BZP48" s="159"/>
      <c r="BZQ48" s="159"/>
      <c r="BZR48" s="159"/>
      <c r="BZS48" s="159"/>
      <c r="BZT48" s="159"/>
      <c r="BZU48" s="159"/>
      <c r="BZV48" s="159"/>
      <c r="BZW48" s="159"/>
      <c r="BZX48" s="159"/>
      <c r="BZY48" s="159"/>
      <c r="BZZ48" s="159"/>
      <c r="CAA48" s="159"/>
      <c r="CAB48" s="159"/>
      <c r="CAC48" s="159"/>
      <c r="CAD48" s="159"/>
      <c r="CAE48" s="159"/>
      <c r="CAF48" s="159"/>
      <c r="CAG48" s="159"/>
      <c r="CAH48" s="159"/>
      <c r="CAI48" s="159"/>
      <c r="CAJ48" s="159"/>
      <c r="CAK48" s="159"/>
      <c r="CAL48" s="159"/>
      <c r="CAM48" s="159"/>
      <c r="CAN48" s="159"/>
      <c r="CAO48" s="159"/>
      <c r="CAP48" s="159"/>
      <c r="CAQ48" s="159"/>
      <c r="CAR48" s="159"/>
      <c r="CAS48" s="159"/>
      <c r="CAT48" s="159"/>
      <c r="CAU48" s="159"/>
      <c r="CAV48" s="159"/>
      <c r="CAW48" s="159"/>
      <c r="CAX48" s="159"/>
      <c r="CAY48" s="159"/>
      <c r="CAZ48" s="159"/>
      <c r="CBA48" s="159"/>
      <c r="CBB48" s="159"/>
      <c r="CBC48" s="159"/>
      <c r="CBD48" s="159"/>
      <c r="CBE48" s="159"/>
      <c r="CBF48" s="159"/>
      <c r="CBG48" s="159"/>
      <c r="CBH48" s="159"/>
      <c r="CBI48" s="159"/>
      <c r="CBJ48" s="159"/>
      <c r="CBK48" s="159"/>
      <c r="CBL48" s="159"/>
      <c r="CBM48" s="159"/>
      <c r="CBN48" s="159"/>
      <c r="CBO48" s="159"/>
      <c r="CBP48" s="159"/>
      <c r="CBQ48" s="159"/>
      <c r="CBR48" s="159"/>
      <c r="CBS48" s="159"/>
      <c r="CBT48" s="159"/>
      <c r="CBU48" s="159"/>
      <c r="CBV48" s="159"/>
      <c r="CBW48" s="159"/>
      <c r="CBX48" s="159"/>
      <c r="CBY48" s="159"/>
      <c r="CBZ48" s="159"/>
      <c r="CCA48" s="159"/>
      <c r="CCB48" s="159"/>
      <c r="CCC48" s="159"/>
      <c r="CCD48" s="159"/>
      <c r="CCE48" s="159"/>
      <c r="CCF48" s="159"/>
      <c r="CCG48" s="159"/>
      <c r="CCH48" s="159"/>
      <c r="CCI48" s="159"/>
      <c r="CCJ48" s="159"/>
      <c r="CCK48" s="159"/>
      <c r="CCL48" s="159"/>
      <c r="CCM48" s="159"/>
      <c r="CCN48" s="159"/>
      <c r="CCO48" s="159"/>
      <c r="CCP48" s="159"/>
      <c r="CCQ48" s="159"/>
      <c r="CCR48" s="159"/>
      <c r="CCS48" s="159"/>
      <c r="CCT48" s="159"/>
      <c r="CCU48" s="159"/>
      <c r="CCV48" s="159"/>
      <c r="CCW48" s="159"/>
      <c r="CCX48" s="159"/>
      <c r="CCY48" s="159"/>
      <c r="CCZ48" s="159"/>
      <c r="CDA48" s="159"/>
      <c r="CDB48" s="159"/>
      <c r="CDC48" s="159"/>
      <c r="CDD48" s="159"/>
      <c r="CDE48" s="159"/>
      <c r="CDF48" s="159"/>
      <c r="CDG48" s="159"/>
      <c r="CDH48" s="159"/>
      <c r="CDI48" s="159"/>
      <c r="CDJ48" s="159"/>
      <c r="CDK48" s="159"/>
      <c r="CDL48" s="159"/>
      <c r="CDM48" s="159"/>
      <c r="CDN48" s="159"/>
      <c r="CDO48" s="159"/>
      <c r="CDP48" s="159"/>
      <c r="CDQ48" s="159"/>
      <c r="CDR48" s="159"/>
      <c r="CDS48" s="159"/>
      <c r="CDT48" s="159"/>
      <c r="CDU48" s="159"/>
      <c r="CDV48" s="159"/>
      <c r="CDW48" s="159"/>
      <c r="CDX48" s="159"/>
      <c r="CDY48" s="159"/>
      <c r="CDZ48" s="159"/>
      <c r="CEA48" s="159"/>
      <c r="CEB48" s="159"/>
      <c r="CEC48" s="159"/>
      <c r="CED48" s="159"/>
      <c r="CEE48" s="159"/>
      <c r="CEF48" s="159"/>
      <c r="CEG48" s="159"/>
      <c r="CEH48" s="159"/>
      <c r="CEI48" s="159"/>
      <c r="CEJ48" s="159"/>
      <c r="CEK48" s="159"/>
      <c r="CEL48" s="159"/>
      <c r="CEM48" s="159"/>
      <c r="CEN48" s="159"/>
      <c r="CEO48" s="159"/>
      <c r="CEP48" s="159"/>
      <c r="CEQ48" s="159"/>
      <c r="CER48" s="159"/>
      <c r="CES48" s="159"/>
      <c r="CET48" s="159"/>
      <c r="CEU48" s="159"/>
      <c r="CEV48" s="159"/>
      <c r="CEW48" s="159"/>
      <c r="CEX48" s="159"/>
      <c r="CEY48" s="159"/>
      <c r="CEZ48" s="159"/>
      <c r="CFA48" s="159"/>
      <c r="CFB48" s="159"/>
      <c r="CFC48" s="159"/>
      <c r="CFD48" s="159"/>
      <c r="CFE48" s="159"/>
      <c r="CFF48" s="159"/>
      <c r="CFG48" s="159"/>
      <c r="CFH48" s="159"/>
      <c r="CFI48" s="159"/>
      <c r="CFJ48" s="159"/>
      <c r="CFK48" s="159"/>
      <c r="CFL48" s="159"/>
      <c r="CFM48" s="159"/>
      <c r="CFN48" s="159"/>
      <c r="CFO48" s="159"/>
      <c r="CFP48" s="159"/>
      <c r="CFQ48" s="159"/>
      <c r="CFR48" s="159"/>
      <c r="CFS48" s="159"/>
      <c r="CFT48" s="159"/>
      <c r="CFU48" s="159"/>
      <c r="CFV48" s="159"/>
      <c r="CFW48" s="159"/>
      <c r="CFX48" s="159"/>
      <c r="CFY48" s="159"/>
      <c r="CFZ48" s="159"/>
      <c r="CGA48" s="159"/>
      <c r="CGB48" s="159"/>
      <c r="CGC48" s="159"/>
      <c r="CGD48" s="159"/>
      <c r="CGE48" s="159"/>
      <c r="CGF48" s="159"/>
      <c r="CGG48" s="159"/>
      <c r="CGH48" s="159"/>
      <c r="CGI48" s="159"/>
      <c r="CGJ48" s="159"/>
      <c r="CGK48" s="159"/>
      <c r="CGL48" s="159"/>
      <c r="CGM48" s="159"/>
      <c r="CGN48" s="159"/>
      <c r="CGO48" s="159"/>
      <c r="CGP48" s="159"/>
      <c r="CGQ48" s="159"/>
      <c r="CGR48" s="159"/>
      <c r="CGS48" s="159"/>
      <c r="CGT48" s="159"/>
      <c r="CGU48" s="159"/>
      <c r="CGV48" s="159"/>
      <c r="CGW48" s="159"/>
      <c r="CGX48" s="159"/>
      <c r="CGY48" s="159"/>
      <c r="CGZ48" s="159"/>
      <c r="CHA48" s="159"/>
      <c r="CHB48" s="159"/>
      <c r="CHC48" s="159"/>
      <c r="CHD48" s="159"/>
      <c r="CHE48" s="159"/>
      <c r="CHF48" s="159"/>
      <c r="CHG48" s="159"/>
      <c r="CHH48" s="159"/>
      <c r="CHI48" s="159"/>
      <c r="CHJ48" s="159"/>
      <c r="CHK48" s="159"/>
      <c r="CHL48" s="159"/>
      <c r="CHM48" s="159"/>
      <c r="CHN48" s="159"/>
      <c r="CHO48" s="159"/>
      <c r="CHP48" s="159"/>
      <c r="CHQ48" s="159"/>
      <c r="CHR48" s="159"/>
      <c r="CHS48" s="159"/>
      <c r="CHT48" s="159"/>
      <c r="CHU48" s="159"/>
      <c r="CHV48" s="159"/>
      <c r="CHW48" s="159"/>
      <c r="CHX48" s="159"/>
      <c r="CHY48" s="159"/>
      <c r="CHZ48" s="159"/>
      <c r="CIA48" s="159"/>
      <c r="CIB48" s="159"/>
      <c r="CIC48" s="159"/>
      <c r="CID48" s="159"/>
      <c r="CIE48" s="159"/>
      <c r="CIF48" s="159"/>
      <c r="CIG48" s="159"/>
      <c r="CIH48" s="159"/>
      <c r="CII48" s="159"/>
      <c r="CIJ48" s="159"/>
      <c r="CIK48" s="159"/>
      <c r="CIL48" s="159"/>
      <c r="CIM48" s="159"/>
      <c r="CIN48" s="159"/>
      <c r="CIO48" s="159"/>
      <c r="CIP48" s="159"/>
      <c r="CIQ48" s="159"/>
      <c r="CIR48" s="159"/>
      <c r="CIS48" s="159"/>
      <c r="CIT48" s="159"/>
      <c r="CIU48" s="159"/>
      <c r="CIV48" s="159"/>
      <c r="CIW48" s="159"/>
      <c r="CIX48" s="159"/>
      <c r="CIY48" s="159"/>
      <c r="CIZ48" s="159"/>
      <c r="CJA48" s="159"/>
      <c r="CJB48" s="159"/>
      <c r="CJC48" s="159"/>
      <c r="CJD48" s="159"/>
      <c r="CJE48" s="159"/>
      <c r="CJF48" s="159"/>
      <c r="CJG48" s="159"/>
      <c r="CJH48" s="159"/>
      <c r="CJI48" s="159"/>
      <c r="CJJ48" s="159"/>
      <c r="CJK48" s="159"/>
      <c r="CJL48" s="159"/>
      <c r="CJM48" s="159"/>
      <c r="CJN48" s="159"/>
      <c r="CJO48" s="159"/>
      <c r="CJP48" s="159"/>
      <c r="CJQ48" s="159"/>
      <c r="CJR48" s="159"/>
      <c r="CJS48" s="159"/>
      <c r="CJT48" s="159"/>
      <c r="CJU48" s="159"/>
      <c r="CJV48" s="159"/>
      <c r="CJW48" s="159"/>
      <c r="CJX48" s="159"/>
      <c r="CJY48" s="159"/>
      <c r="CJZ48" s="159"/>
      <c r="CKA48" s="159"/>
      <c r="CKB48" s="159"/>
      <c r="CKC48" s="159"/>
      <c r="CKD48" s="159"/>
      <c r="CKE48" s="159"/>
      <c r="CKF48" s="159"/>
      <c r="CKG48" s="159"/>
      <c r="CKH48" s="159"/>
      <c r="CKI48" s="159"/>
      <c r="CKJ48" s="159"/>
      <c r="CKK48" s="159"/>
      <c r="CKL48" s="159"/>
      <c r="CKM48" s="159"/>
      <c r="CKN48" s="159"/>
      <c r="CKO48" s="159"/>
      <c r="CKP48" s="159"/>
      <c r="CKQ48" s="159"/>
      <c r="CKR48" s="159"/>
      <c r="CKS48" s="159"/>
      <c r="CKT48" s="159"/>
      <c r="CKU48" s="159"/>
      <c r="CKV48" s="159"/>
      <c r="CKW48" s="159"/>
      <c r="CKX48" s="159"/>
      <c r="CKY48" s="159"/>
      <c r="CKZ48" s="159"/>
      <c r="CLA48" s="159"/>
      <c r="CLB48" s="159"/>
      <c r="CLC48" s="159"/>
      <c r="CLD48" s="159"/>
      <c r="CLE48" s="159"/>
      <c r="CLF48" s="159"/>
      <c r="CLG48" s="159"/>
      <c r="CLH48" s="159"/>
      <c r="CLI48" s="159"/>
      <c r="CLJ48" s="159"/>
      <c r="CLK48" s="159"/>
      <c r="CLL48" s="159"/>
      <c r="CLM48" s="159"/>
      <c r="CLN48" s="159"/>
      <c r="CLO48" s="159"/>
      <c r="CLP48" s="159"/>
      <c r="CLQ48" s="159"/>
      <c r="CLR48" s="159"/>
      <c r="CLS48" s="159"/>
      <c r="CLT48" s="159"/>
      <c r="CLU48" s="159"/>
      <c r="CLV48" s="159"/>
      <c r="CLW48" s="159"/>
      <c r="CLX48" s="159"/>
      <c r="CLY48" s="159"/>
      <c r="CLZ48" s="159"/>
      <c r="CMA48" s="159"/>
      <c r="CMB48" s="159"/>
      <c r="CMC48" s="159"/>
      <c r="CMD48" s="159"/>
      <c r="CME48" s="159"/>
      <c r="CMF48" s="159"/>
      <c r="CMG48" s="159"/>
      <c r="CMH48" s="159"/>
      <c r="CMI48" s="159"/>
      <c r="CMJ48" s="159"/>
      <c r="CMK48" s="159"/>
      <c r="CML48" s="159"/>
      <c r="CMM48" s="159"/>
      <c r="CMN48" s="159"/>
      <c r="CMO48" s="159"/>
      <c r="CMP48" s="159"/>
      <c r="CMQ48" s="159"/>
      <c r="CMR48" s="159"/>
      <c r="CMS48" s="159"/>
      <c r="CMT48" s="159"/>
      <c r="CMU48" s="159"/>
      <c r="CMV48" s="159"/>
      <c r="CMW48" s="159"/>
      <c r="CMX48" s="159"/>
      <c r="CMY48" s="159"/>
      <c r="CMZ48" s="159"/>
      <c r="CNA48" s="159"/>
      <c r="CNB48" s="159"/>
      <c r="CNC48" s="159"/>
      <c r="CND48" s="159"/>
      <c r="CNE48" s="159"/>
      <c r="CNF48" s="159"/>
      <c r="CNG48" s="159"/>
      <c r="CNH48" s="159"/>
      <c r="CNI48" s="159"/>
      <c r="CNJ48" s="159"/>
      <c r="CNK48" s="159"/>
      <c r="CNL48" s="159"/>
      <c r="CNM48" s="159"/>
      <c r="CNN48" s="159"/>
      <c r="CNO48" s="159"/>
      <c r="CNP48" s="159"/>
      <c r="CNQ48" s="159"/>
      <c r="CNR48" s="159"/>
      <c r="CNS48" s="159"/>
      <c r="CNT48" s="159"/>
      <c r="CNU48" s="159"/>
      <c r="CNV48" s="159"/>
      <c r="CNW48" s="159"/>
      <c r="CNX48" s="159"/>
      <c r="CNY48" s="159"/>
      <c r="CNZ48" s="159"/>
      <c r="COA48" s="159"/>
      <c r="COB48" s="159"/>
      <c r="COC48" s="159"/>
      <c r="COD48" s="159"/>
      <c r="COE48" s="159"/>
      <c r="COF48" s="159"/>
      <c r="COG48" s="159"/>
      <c r="COH48" s="159"/>
      <c r="COI48" s="159"/>
      <c r="COJ48" s="159"/>
      <c r="COK48" s="159"/>
      <c r="COL48" s="159"/>
      <c r="COM48" s="159"/>
      <c r="CON48" s="159"/>
      <c r="COO48" s="159"/>
      <c r="COP48" s="159"/>
      <c r="COQ48" s="159"/>
      <c r="COR48" s="159"/>
      <c r="COS48" s="159"/>
      <c r="COT48" s="159"/>
      <c r="COU48" s="159"/>
      <c r="COV48" s="159"/>
      <c r="COW48" s="159"/>
      <c r="COX48" s="159"/>
      <c r="COY48" s="159"/>
      <c r="COZ48" s="159"/>
      <c r="CPA48" s="159"/>
      <c r="CPB48" s="159"/>
      <c r="CPC48" s="159"/>
      <c r="CPD48" s="159"/>
      <c r="CPE48" s="159"/>
      <c r="CPF48" s="159"/>
      <c r="CPG48" s="159"/>
      <c r="CPH48" s="159"/>
      <c r="CPI48" s="159"/>
      <c r="CPJ48" s="159"/>
      <c r="CPK48" s="159"/>
      <c r="CPL48" s="159"/>
      <c r="CPM48" s="159"/>
      <c r="CPN48" s="159"/>
      <c r="CPO48" s="159"/>
      <c r="CPP48" s="159"/>
      <c r="CPQ48" s="159"/>
      <c r="CPR48" s="159"/>
      <c r="CPS48" s="159"/>
      <c r="CPT48" s="159"/>
      <c r="CPU48" s="159"/>
      <c r="CPV48" s="159"/>
      <c r="CPW48" s="159"/>
      <c r="CPX48" s="159"/>
      <c r="CPY48" s="159"/>
      <c r="CPZ48" s="159"/>
      <c r="CQA48" s="159"/>
      <c r="CQB48" s="159"/>
      <c r="CQC48" s="159"/>
      <c r="CQD48" s="159"/>
      <c r="CQE48" s="159"/>
      <c r="CQF48" s="159"/>
      <c r="CQG48" s="159"/>
      <c r="CQH48" s="159"/>
      <c r="CQI48" s="159"/>
      <c r="CQJ48" s="159"/>
      <c r="CQK48" s="159"/>
      <c r="CQL48" s="159"/>
      <c r="CQM48" s="159"/>
      <c r="CQN48" s="159"/>
      <c r="CQO48" s="159"/>
      <c r="CQP48" s="159"/>
      <c r="CQQ48" s="159"/>
      <c r="CQR48" s="159"/>
      <c r="CQS48" s="159"/>
      <c r="CQT48" s="159"/>
      <c r="CQU48" s="159"/>
      <c r="CQV48" s="159"/>
      <c r="CQW48" s="159"/>
      <c r="CQX48" s="159"/>
      <c r="CQY48" s="159"/>
      <c r="CQZ48" s="159"/>
      <c r="CRA48" s="159"/>
      <c r="CRB48" s="159"/>
      <c r="CRC48" s="159"/>
      <c r="CRD48" s="159"/>
      <c r="CRE48" s="159"/>
      <c r="CRF48" s="159"/>
      <c r="CRG48" s="159"/>
      <c r="CRH48" s="159"/>
      <c r="CRI48" s="159"/>
      <c r="CRJ48" s="159"/>
      <c r="CRK48" s="159"/>
      <c r="CRL48" s="159"/>
      <c r="CRM48" s="159"/>
      <c r="CRN48" s="159"/>
      <c r="CRO48" s="159"/>
      <c r="CRP48" s="159"/>
      <c r="CRQ48" s="159"/>
      <c r="CRR48" s="159"/>
      <c r="CRS48" s="159"/>
      <c r="CRT48" s="159"/>
      <c r="CRU48" s="159"/>
      <c r="CRV48" s="159"/>
      <c r="CRW48" s="159"/>
      <c r="CRX48" s="159"/>
      <c r="CRY48" s="159"/>
      <c r="CRZ48" s="159"/>
      <c r="CSA48" s="159"/>
      <c r="CSB48" s="159"/>
      <c r="CSC48" s="159"/>
      <c r="CSD48" s="159"/>
      <c r="CSE48" s="159"/>
      <c r="CSF48" s="159"/>
      <c r="CSG48" s="159"/>
      <c r="CSH48" s="159"/>
      <c r="CSI48" s="159"/>
      <c r="CSJ48" s="159"/>
      <c r="CSK48" s="159"/>
      <c r="CSL48" s="159"/>
      <c r="CSM48" s="159"/>
      <c r="CSN48" s="159"/>
      <c r="CSO48" s="159"/>
      <c r="CSP48" s="159"/>
      <c r="CSQ48" s="159"/>
      <c r="CSR48" s="159"/>
      <c r="CSS48" s="159"/>
      <c r="CST48" s="159"/>
      <c r="CSU48" s="159"/>
      <c r="CSV48" s="159"/>
      <c r="CSW48" s="159"/>
      <c r="CSX48" s="159"/>
      <c r="CSY48" s="159"/>
      <c r="CSZ48" s="159"/>
      <c r="CTA48" s="159"/>
      <c r="CTB48" s="159"/>
      <c r="CTC48" s="159"/>
      <c r="CTD48" s="159"/>
      <c r="CTE48" s="159"/>
      <c r="CTF48" s="159"/>
      <c r="CTG48" s="159"/>
      <c r="CTH48" s="159"/>
      <c r="CTI48" s="159"/>
      <c r="CTJ48" s="159"/>
      <c r="CTK48" s="159"/>
      <c r="CTL48" s="159"/>
      <c r="CTM48" s="159"/>
      <c r="CTN48" s="159"/>
      <c r="CTO48" s="159"/>
      <c r="CTP48" s="159"/>
      <c r="CTQ48" s="159"/>
      <c r="CTR48" s="159"/>
      <c r="CTS48" s="159"/>
      <c r="CTT48" s="159"/>
      <c r="CTU48" s="159"/>
      <c r="CTV48" s="159"/>
      <c r="CTW48" s="159"/>
      <c r="CTX48" s="159"/>
      <c r="CTY48" s="159"/>
      <c r="CTZ48" s="159"/>
      <c r="CUA48" s="159"/>
      <c r="CUB48" s="159"/>
      <c r="CUC48" s="159"/>
      <c r="CUD48" s="159"/>
      <c r="CUE48" s="159"/>
      <c r="CUF48" s="159"/>
      <c r="CUG48" s="159"/>
      <c r="CUH48" s="159"/>
      <c r="CUI48" s="159"/>
      <c r="CUJ48" s="159"/>
      <c r="CUK48" s="159"/>
      <c r="CUL48" s="159"/>
      <c r="CUM48" s="159"/>
      <c r="CUN48" s="159"/>
      <c r="CUO48" s="159"/>
      <c r="CUP48" s="159"/>
      <c r="CUQ48" s="159"/>
      <c r="CUR48" s="159"/>
      <c r="CUS48" s="159"/>
      <c r="CUT48" s="159"/>
      <c r="CUU48" s="159"/>
      <c r="CUV48" s="159"/>
      <c r="CUW48" s="159"/>
      <c r="CUX48" s="159"/>
      <c r="CUY48" s="159"/>
      <c r="CUZ48" s="159"/>
      <c r="CVA48" s="159"/>
      <c r="CVB48" s="159"/>
      <c r="CVC48" s="159"/>
      <c r="CVD48" s="159"/>
      <c r="CVE48" s="159"/>
      <c r="CVF48" s="159"/>
      <c r="CVG48" s="159"/>
      <c r="CVH48" s="159"/>
      <c r="CVI48" s="159"/>
      <c r="CVJ48" s="159"/>
      <c r="CVK48" s="159"/>
      <c r="CVL48" s="159"/>
      <c r="CVM48" s="159"/>
      <c r="CVN48" s="159"/>
      <c r="CVO48" s="159"/>
      <c r="CVP48" s="159"/>
      <c r="CVQ48" s="159"/>
      <c r="CVR48" s="159"/>
      <c r="CVS48" s="159"/>
      <c r="CVT48" s="159"/>
      <c r="CVU48" s="159"/>
      <c r="CVV48" s="159"/>
      <c r="CVW48" s="159"/>
      <c r="CVX48" s="159"/>
      <c r="CVY48" s="159"/>
      <c r="CVZ48" s="159"/>
      <c r="CWA48" s="159"/>
      <c r="CWB48" s="159"/>
      <c r="CWC48" s="159"/>
      <c r="CWD48" s="159"/>
      <c r="CWE48" s="159"/>
      <c r="CWF48" s="159"/>
      <c r="CWG48" s="159"/>
      <c r="CWH48" s="159"/>
      <c r="CWI48" s="159"/>
      <c r="CWJ48" s="159"/>
      <c r="CWK48" s="159"/>
      <c r="CWL48" s="159"/>
      <c r="CWM48" s="159"/>
      <c r="CWN48" s="159"/>
      <c r="CWO48" s="159"/>
      <c r="CWP48" s="159"/>
      <c r="CWQ48" s="159"/>
      <c r="CWR48" s="159"/>
      <c r="CWS48" s="159"/>
      <c r="CWT48" s="159"/>
      <c r="CWU48" s="159"/>
      <c r="CWV48" s="159"/>
      <c r="CWW48" s="159"/>
      <c r="CWX48" s="159"/>
      <c r="CWY48" s="159"/>
      <c r="CWZ48" s="159"/>
      <c r="CXA48" s="159"/>
      <c r="CXB48" s="159"/>
      <c r="CXC48" s="159"/>
      <c r="CXD48" s="159"/>
      <c r="CXE48" s="159"/>
      <c r="CXF48" s="159"/>
      <c r="CXG48" s="159"/>
      <c r="CXH48" s="159"/>
      <c r="CXI48" s="159"/>
      <c r="CXJ48" s="159"/>
      <c r="CXK48" s="159"/>
      <c r="CXL48" s="159"/>
      <c r="CXM48" s="159"/>
      <c r="CXN48" s="159"/>
      <c r="CXO48" s="159"/>
      <c r="CXP48" s="159"/>
      <c r="CXQ48" s="159"/>
      <c r="CXR48" s="159"/>
      <c r="CXS48" s="159"/>
      <c r="CXT48" s="159"/>
      <c r="CXU48" s="159"/>
      <c r="CXV48" s="159"/>
      <c r="CXW48" s="159"/>
      <c r="CXX48" s="159"/>
      <c r="CXY48" s="159"/>
      <c r="CXZ48" s="159"/>
      <c r="CYA48" s="159"/>
      <c r="CYB48" s="159"/>
      <c r="CYC48" s="159"/>
      <c r="CYD48" s="159"/>
      <c r="CYE48" s="159"/>
      <c r="CYF48" s="159"/>
      <c r="CYG48" s="159"/>
      <c r="CYH48" s="159"/>
      <c r="CYI48" s="159"/>
      <c r="CYJ48" s="159"/>
      <c r="CYK48" s="159"/>
      <c r="CYL48" s="159"/>
      <c r="CYM48" s="159"/>
      <c r="CYN48" s="159"/>
      <c r="CYO48" s="159"/>
      <c r="CYP48" s="159"/>
      <c r="CYQ48" s="159"/>
      <c r="CYR48" s="159"/>
      <c r="CYS48" s="159"/>
      <c r="CYT48" s="159"/>
      <c r="CYU48" s="159"/>
      <c r="CYV48" s="159"/>
      <c r="CYW48" s="159"/>
      <c r="CYX48" s="159"/>
      <c r="CYY48" s="159"/>
      <c r="CYZ48" s="159"/>
      <c r="CZA48" s="159"/>
      <c r="CZB48" s="159"/>
      <c r="CZC48" s="159"/>
      <c r="CZD48" s="159"/>
      <c r="CZE48" s="159"/>
      <c r="CZF48" s="159"/>
      <c r="CZG48" s="159"/>
      <c r="CZH48" s="159"/>
      <c r="CZI48" s="159"/>
      <c r="CZJ48" s="159"/>
      <c r="CZK48" s="159"/>
      <c r="CZL48" s="159"/>
      <c r="CZM48" s="159"/>
      <c r="CZN48" s="159"/>
      <c r="CZO48" s="159"/>
      <c r="CZP48" s="159"/>
      <c r="CZQ48" s="159"/>
      <c r="CZR48" s="159"/>
      <c r="CZS48" s="159"/>
      <c r="CZT48" s="159"/>
      <c r="CZU48" s="159"/>
      <c r="CZV48" s="159"/>
      <c r="CZW48" s="159"/>
      <c r="CZX48" s="159"/>
      <c r="CZY48" s="159"/>
      <c r="CZZ48" s="159"/>
      <c r="DAA48" s="159"/>
      <c r="DAB48" s="159"/>
      <c r="DAC48" s="159"/>
      <c r="DAD48" s="159"/>
      <c r="DAE48" s="159"/>
      <c r="DAF48" s="159"/>
      <c r="DAG48" s="159"/>
      <c r="DAH48" s="159"/>
      <c r="DAI48" s="159"/>
      <c r="DAJ48" s="159"/>
      <c r="DAK48" s="159"/>
      <c r="DAL48" s="159"/>
      <c r="DAM48" s="159"/>
      <c r="DAN48" s="159"/>
      <c r="DAO48" s="159"/>
      <c r="DAP48" s="159"/>
      <c r="DAQ48" s="159"/>
      <c r="DAR48" s="159"/>
      <c r="DAS48" s="159"/>
      <c r="DAT48" s="159"/>
      <c r="DAU48" s="159"/>
      <c r="DAV48" s="159"/>
      <c r="DAW48" s="159"/>
      <c r="DAX48" s="159"/>
      <c r="DAY48" s="159"/>
      <c r="DAZ48" s="159"/>
      <c r="DBA48" s="159"/>
      <c r="DBB48" s="159"/>
      <c r="DBC48" s="159"/>
      <c r="DBD48" s="159"/>
      <c r="DBE48" s="159"/>
      <c r="DBF48" s="159"/>
      <c r="DBG48" s="159"/>
      <c r="DBH48" s="159"/>
      <c r="DBI48" s="159"/>
      <c r="DBJ48" s="159"/>
      <c r="DBK48" s="159"/>
      <c r="DBL48" s="159"/>
      <c r="DBM48" s="159"/>
      <c r="DBN48" s="159"/>
      <c r="DBO48" s="159"/>
      <c r="DBP48" s="159"/>
      <c r="DBQ48" s="159"/>
      <c r="DBR48" s="159"/>
      <c r="DBS48" s="159"/>
      <c r="DBT48" s="159"/>
      <c r="DBU48" s="159"/>
      <c r="DBV48" s="159"/>
      <c r="DBW48" s="159"/>
      <c r="DBX48" s="159"/>
      <c r="DBY48" s="159"/>
      <c r="DBZ48" s="159"/>
      <c r="DCA48" s="159"/>
      <c r="DCB48" s="159"/>
      <c r="DCC48" s="159"/>
      <c r="DCD48" s="159"/>
      <c r="DCE48" s="159"/>
      <c r="DCF48" s="159"/>
      <c r="DCG48" s="159"/>
      <c r="DCH48" s="159"/>
      <c r="DCI48" s="159"/>
      <c r="DCJ48" s="159"/>
      <c r="DCK48" s="159"/>
      <c r="DCL48" s="159"/>
      <c r="DCM48" s="159"/>
      <c r="DCN48" s="159"/>
      <c r="DCO48" s="159"/>
      <c r="DCP48" s="159"/>
      <c r="DCQ48" s="159"/>
      <c r="DCR48" s="159"/>
      <c r="DCS48" s="159"/>
      <c r="DCT48" s="159"/>
      <c r="DCU48" s="159"/>
      <c r="DCV48" s="159"/>
      <c r="DCW48" s="159"/>
      <c r="DCX48" s="159"/>
      <c r="DCY48" s="159"/>
      <c r="DCZ48" s="159"/>
      <c r="DDA48" s="159"/>
      <c r="DDB48" s="159"/>
      <c r="DDC48" s="159"/>
      <c r="DDD48" s="159"/>
      <c r="DDE48" s="159"/>
      <c r="DDF48" s="159"/>
      <c r="DDG48" s="159"/>
      <c r="DDH48" s="159"/>
      <c r="DDI48" s="159"/>
      <c r="DDJ48" s="159"/>
      <c r="DDK48" s="159"/>
      <c r="DDL48" s="159"/>
      <c r="DDM48" s="159"/>
      <c r="DDN48" s="159"/>
      <c r="DDO48" s="159"/>
      <c r="DDP48" s="159"/>
      <c r="DDQ48" s="159"/>
      <c r="DDR48" s="159"/>
      <c r="DDS48" s="159"/>
      <c r="DDT48" s="159"/>
      <c r="DDU48" s="159"/>
      <c r="DDV48" s="159"/>
      <c r="DDW48" s="159"/>
      <c r="DDX48" s="159"/>
      <c r="DDY48" s="159"/>
      <c r="DDZ48" s="159"/>
      <c r="DEA48" s="159"/>
      <c r="DEB48" s="159"/>
      <c r="DEC48" s="159"/>
      <c r="DED48" s="159"/>
      <c r="DEE48" s="159"/>
      <c r="DEF48" s="159"/>
      <c r="DEG48" s="159"/>
      <c r="DEH48" s="159"/>
      <c r="DEI48" s="159"/>
      <c r="DEJ48" s="159"/>
      <c r="DEK48" s="159"/>
      <c r="DEL48" s="159"/>
      <c r="DEM48" s="159"/>
      <c r="DEN48" s="159"/>
      <c r="DEO48" s="159"/>
      <c r="DEP48" s="159"/>
      <c r="DEQ48" s="159"/>
      <c r="DER48" s="159"/>
      <c r="DES48" s="159"/>
      <c r="DET48" s="159"/>
      <c r="DEU48" s="159"/>
      <c r="DEV48" s="159"/>
      <c r="DEW48" s="159"/>
      <c r="DEX48" s="159"/>
      <c r="DEY48" s="159"/>
      <c r="DEZ48" s="159"/>
      <c r="DFA48" s="159"/>
      <c r="DFB48" s="159"/>
      <c r="DFC48" s="159"/>
      <c r="DFD48" s="159"/>
      <c r="DFE48" s="159"/>
      <c r="DFF48" s="159"/>
      <c r="DFG48" s="159"/>
      <c r="DFH48" s="159"/>
      <c r="DFI48" s="159"/>
      <c r="DFJ48" s="159"/>
      <c r="DFK48" s="159"/>
      <c r="DFL48" s="159"/>
      <c r="DFM48" s="159"/>
      <c r="DFN48" s="159"/>
      <c r="DFO48" s="159"/>
      <c r="DFP48" s="159"/>
      <c r="DFQ48" s="159"/>
      <c r="DFR48" s="159"/>
      <c r="DFS48" s="159"/>
      <c r="DFT48" s="159"/>
      <c r="DFU48" s="159"/>
      <c r="DFV48" s="159"/>
      <c r="DFW48" s="159"/>
      <c r="DFX48" s="159"/>
      <c r="DFY48" s="159"/>
      <c r="DFZ48" s="159"/>
      <c r="DGA48" s="159"/>
      <c r="DGB48" s="159"/>
      <c r="DGC48" s="159"/>
      <c r="DGD48" s="159"/>
      <c r="DGE48" s="159"/>
      <c r="DGF48" s="159"/>
      <c r="DGG48" s="159"/>
      <c r="DGH48" s="159"/>
      <c r="DGI48" s="159"/>
      <c r="DGJ48" s="159"/>
      <c r="DGK48" s="159"/>
      <c r="DGL48" s="159"/>
      <c r="DGM48" s="159"/>
      <c r="DGN48" s="159"/>
      <c r="DGO48" s="159"/>
      <c r="DGP48" s="159"/>
      <c r="DGQ48" s="159"/>
      <c r="DGR48" s="159"/>
      <c r="DGS48" s="159"/>
      <c r="DGT48" s="159"/>
      <c r="DGU48" s="159"/>
      <c r="DGV48" s="159"/>
      <c r="DGW48" s="159"/>
      <c r="DGX48" s="159"/>
      <c r="DGY48" s="159"/>
      <c r="DGZ48" s="159"/>
      <c r="DHA48" s="159"/>
      <c r="DHB48" s="159"/>
      <c r="DHC48" s="159"/>
      <c r="DHD48" s="159"/>
      <c r="DHE48" s="159"/>
      <c r="DHF48" s="159"/>
      <c r="DHG48" s="159"/>
      <c r="DHH48" s="159"/>
      <c r="DHI48" s="159"/>
      <c r="DHJ48" s="159"/>
      <c r="DHK48" s="159"/>
      <c r="DHL48" s="159"/>
      <c r="DHM48" s="159"/>
      <c r="DHN48" s="159"/>
      <c r="DHO48" s="159"/>
      <c r="DHP48" s="159"/>
      <c r="DHQ48" s="159"/>
      <c r="DHR48" s="159"/>
      <c r="DHS48" s="159"/>
      <c r="DHT48" s="159"/>
      <c r="DHU48" s="159"/>
      <c r="DHV48" s="159"/>
      <c r="DHW48" s="159"/>
      <c r="DHX48" s="159"/>
      <c r="DHY48" s="159"/>
      <c r="DHZ48" s="159"/>
      <c r="DIA48" s="159"/>
      <c r="DIB48" s="159"/>
      <c r="DIC48" s="159"/>
      <c r="DID48" s="159"/>
      <c r="DIE48" s="159"/>
      <c r="DIF48" s="159"/>
      <c r="DIG48" s="159"/>
      <c r="DIH48" s="159"/>
      <c r="DII48" s="159"/>
      <c r="DIJ48" s="159"/>
      <c r="DIK48" s="159"/>
      <c r="DIL48" s="159"/>
      <c r="DIM48" s="159"/>
      <c r="DIN48" s="159"/>
      <c r="DIO48" s="159"/>
      <c r="DIP48" s="159"/>
      <c r="DIQ48" s="159"/>
      <c r="DIR48" s="159"/>
      <c r="DIS48" s="159"/>
      <c r="DIT48" s="159"/>
      <c r="DIU48" s="159"/>
      <c r="DIV48" s="159"/>
      <c r="DIW48" s="159"/>
      <c r="DIX48" s="159"/>
      <c r="DIY48" s="159"/>
      <c r="DIZ48" s="159"/>
      <c r="DJA48" s="159"/>
      <c r="DJB48" s="159"/>
      <c r="DJC48" s="159"/>
      <c r="DJD48" s="159"/>
      <c r="DJE48" s="159"/>
      <c r="DJF48" s="159"/>
      <c r="DJG48" s="159"/>
      <c r="DJH48" s="159"/>
      <c r="DJI48" s="159"/>
      <c r="DJJ48" s="159"/>
      <c r="DJK48" s="159"/>
      <c r="DJL48" s="159"/>
      <c r="DJM48" s="159"/>
      <c r="DJN48" s="159"/>
      <c r="DJO48" s="159"/>
      <c r="DJP48" s="159"/>
      <c r="DJQ48" s="159"/>
      <c r="DJR48" s="159"/>
      <c r="DJS48" s="159"/>
      <c r="DJT48" s="159"/>
      <c r="DJU48" s="159"/>
      <c r="DJV48" s="159"/>
      <c r="DJW48" s="159"/>
      <c r="DJX48" s="159"/>
      <c r="DJY48" s="159"/>
      <c r="DJZ48" s="159"/>
      <c r="DKA48" s="159"/>
      <c r="DKB48" s="159"/>
      <c r="DKC48" s="159"/>
      <c r="DKD48" s="159"/>
      <c r="DKE48" s="159"/>
      <c r="DKF48" s="159"/>
      <c r="DKG48" s="159"/>
      <c r="DKH48" s="159"/>
      <c r="DKI48" s="159"/>
      <c r="DKJ48" s="159"/>
      <c r="DKK48" s="159"/>
      <c r="DKL48" s="159"/>
      <c r="DKM48" s="159"/>
      <c r="DKN48" s="159"/>
      <c r="DKO48" s="159"/>
      <c r="DKP48" s="159"/>
      <c r="DKQ48" s="159"/>
      <c r="DKR48" s="159"/>
      <c r="DKS48" s="159"/>
      <c r="DKT48" s="159"/>
      <c r="DKU48" s="159"/>
      <c r="DKV48" s="159"/>
      <c r="DKW48" s="159"/>
      <c r="DKX48" s="159"/>
      <c r="DKY48" s="159"/>
      <c r="DKZ48" s="159"/>
      <c r="DLA48" s="159"/>
      <c r="DLB48" s="159"/>
      <c r="DLC48" s="159"/>
      <c r="DLD48" s="159"/>
      <c r="DLE48" s="159"/>
      <c r="DLF48" s="159"/>
      <c r="DLG48" s="159"/>
      <c r="DLH48" s="159"/>
      <c r="DLI48" s="159"/>
      <c r="DLJ48" s="159"/>
      <c r="DLK48" s="159"/>
      <c r="DLL48" s="159"/>
      <c r="DLM48" s="159"/>
      <c r="DLN48" s="159"/>
      <c r="DLO48" s="159"/>
      <c r="DLP48" s="159"/>
      <c r="DLQ48" s="159"/>
      <c r="DLR48" s="159"/>
      <c r="DLS48" s="159"/>
      <c r="DLT48" s="159"/>
      <c r="DLU48" s="159"/>
      <c r="DLV48" s="159"/>
      <c r="DLW48" s="159"/>
      <c r="DLX48" s="159"/>
      <c r="DLY48" s="159"/>
      <c r="DLZ48" s="159"/>
      <c r="DMA48" s="159"/>
      <c r="DMB48" s="159"/>
      <c r="DMC48" s="159"/>
      <c r="DMD48" s="159"/>
      <c r="DME48" s="159"/>
      <c r="DMF48" s="159"/>
      <c r="DMG48" s="159"/>
      <c r="DMH48" s="159"/>
      <c r="DMI48" s="159"/>
      <c r="DMJ48" s="159"/>
      <c r="DMK48" s="159"/>
      <c r="DML48" s="159"/>
      <c r="DMM48" s="159"/>
      <c r="DMN48" s="159"/>
      <c r="DMO48" s="159"/>
      <c r="DMP48" s="159"/>
      <c r="DMQ48" s="159"/>
      <c r="DMR48" s="159"/>
      <c r="DMS48" s="159"/>
      <c r="DMT48" s="159"/>
      <c r="DMU48" s="159"/>
      <c r="DMV48" s="159"/>
      <c r="DMW48" s="159"/>
      <c r="DMX48" s="159"/>
      <c r="DMY48" s="159"/>
      <c r="DMZ48" s="159"/>
      <c r="DNA48" s="159"/>
      <c r="DNB48" s="159"/>
      <c r="DNC48" s="159"/>
      <c r="DND48" s="159"/>
      <c r="DNE48" s="159"/>
      <c r="DNF48" s="159"/>
      <c r="DNG48" s="159"/>
      <c r="DNH48" s="159"/>
      <c r="DNI48" s="159"/>
      <c r="DNJ48" s="159"/>
      <c r="DNK48" s="159"/>
      <c r="DNL48" s="159"/>
      <c r="DNM48" s="159"/>
      <c r="DNN48" s="159"/>
      <c r="DNO48" s="159"/>
      <c r="DNP48" s="159"/>
      <c r="DNQ48" s="159"/>
      <c r="DNR48" s="159"/>
      <c r="DNS48" s="159"/>
      <c r="DNT48" s="159"/>
      <c r="DNU48" s="159"/>
      <c r="DNV48" s="159"/>
      <c r="DNW48" s="159"/>
      <c r="DNX48" s="159"/>
      <c r="DNY48" s="159"/>
      <c r="DNZ48" s="159"/>
      <c r="DOA48" s="159"/>
      <c r="DOB48" s="159"/>
      <c r="DOC48" s="159"/>
      <c r="DOD48" s="159"/>
      <c r="DOE48" s="159"/>
      <c r="DOF48" s="159"/>
      <c r="DOG48" s="159"/>
      <c r="DOH48" s="159"/>
      <c r="DOI48" s="159"/>
      <c r="DOJ48" s="159"/>
      <c r="DOK48" s="159"/>
      <c r="DOL48" s="159"/>
      <c r="DOM48" s="159"/>
      <c r="DON48" s="159"/>
      <c r="DOO48" s="159"/>
      <c r="DOP48" s="159"/>
      <c r="DOQ48" s="159"/>
      <c r="DOR48" s="159"/>
      <c r="DOS48" s="159"/>
      <c r="DOT48" s="159"/>
      <c r="DOU48" s="159"/>
      <c r="DOV48" s="159"/>
      <c r="DOW48" s="159"/>
      <c r="DOX48" s="159"/>
      <c r="DOY48" s="159"/>
      <c r="DOZ48" s="159"/>
      <c r="DPA48" s="159"/>
      <c r="DPB48" s="159"/>
      <c r="DPC48" s="159"/>
      <c r="DPD48" s="159"/>
      <c r="DPE48" s="159"/>
      <c r="DPF48" s="159"/>
      <c r="DPG48" s="159"/>
      <c r="DPH48" s="159"/>
      <c r="DPI48" s="159"/>
      <c r="DPJ48" s="159"/>
      <c r="DPK48" s="159"/>
      <c r="DPL48" s="159"/>
      <c r="DPM48" s="159"/>
      <c r="DPN48" s="159"/>
      <c r="DPO48" s="159"/>
      <c r="DPP48" s="159"/>
      <c r="DPQ48" s="159"/>
      <c r="DPR48" s="159"/>
      <c r="DPS48" s="159"/>
      <c r="DPT48" s="159"/>
      <c r="DPU48" s="159"/>
      <c r="DPV48" s="159"/>
      <c r="DPW48" s="159"/>
      <c r="DPX48" s="159"/>
      <c r="DPY48" s="159"/>
      <c r="DPZ48" s="159"/>
      <c r="DQA48" s="159"/>
      <c r="DQB48" s="159"/>
      <c r="DQC48" s="159"/>
      <c r="DQD48" s="159"/>
      <c r="DQE48" s="159"/>
      <c r="DQF48" s="159"/>
      <c r="DQG48" s="159"/>
      <c r="DQH48" s="159"/>
      <c r="DQI48" s="159"/>
      <c r="DQJ48" s="159"/>
      <c r="DQK48" s="159"/>
      <c r="DQL48" s="159"/>
      <c r="DQM48" s="159"/>
      <c r="DQN48" s="159"/>
      <c r="DQO48" s="159"/>
      <c r="DQP48" s="159"/>
      <c r="DQQ48" s="159"/>
      <c r="DQR48" s="159"/>
      <c r="DQS48" s="159"/>
      <c r="DQT48" s="159"/>
      <c r="DQU48" s="159"/>
      <c r="DQV48" s="159"/>
      <c r="DQW48" s="159"/>
      <c r="DQX48" s="159"/>
      <c r="DQY48" s="159"/>
      <c r="DQZ48" s="159"/>
      <c r="DRA48" s="159"/>
      <c r="DRB48" s="159"/>
      <c r="DRC48" s="159"/>
      <c r="DRD48" s="159"/>
      <c r="DRE48" s="159"/>
      <c r="DRF48" s="159"/>
      <c r="DRG48" s="159"/>
      <c r="DRH48" s="159"/>
      <c r="DRI48" s="159"/>
      <c r="DRJ48" s="159"/>
      <c r="DRK48" s="159"/>
      <c r="DRL48" s="159"/>
      <c r="DRM48" s="159"/>
      <c r="DRN48" s="159"/>
      <c r="DRO48" s="159"/>
      <c r="DRP48" s="159"/>
      <c r="DRQ48" s="159"/>
      <c r="DRR48" s="159"/>
      <c r="DRS48" s="159"/>
      <c r="DRT48" s="159"/>
      <c r="DRU48" s="159"/>
      <c r="DRV48" s="159"/>
      <c r="DRW48" s="159"/>
      <c r="DRX48" s="159"/>
      <c r="DRY48" s="159"/>
      <c r="DRZ48" s="159"/>
      <c r="DSA48" s="159"/>
      <c r="DSB48" s="159"/>
      <c r="DSC48" s="159"/>
      <c r="DSD48" s="159"/>
      <c r="DSE48" s="159"/>
      <c r="DSF48" s="159"/>
      <c r="DSG48" s="159"/>
      <c r="DSH48" s="159"/>
      <c r="DSI48" s="159"/>
      <c r="DSJ48" s="159"/>
      <c r="DSK48" s="159"/>
      <c r="DSL48" s="159"/>
      <c r="DSM48" s="159"/>
      <c r="DSN48" s="159"/>
      <c r="DSO48" s="159"/>
      <c r="DSP48" s="159"/>
      <c r="DSQ48" s="159"/>
      <c r="DSR48" s="159"/>
      <c r="DSS48" s="159"/>
      <c r="DST48" s="159"/>
      <c r="DSU48" s="159"/>
      <c r="DSV48" s="159"/>
      <c r="DSW48" s="159"/>
      <c r="DSX48" s="159"/>
      <c r="DSY48" s="159"/>
      <c r="DSZ48" s="159"/>
      <c r="DTA48" s="159"/>
      <c r="DTB48" s="159"/>
      <c r="DTC48" s="159"/>
      <c r="DTD48" s="159"/>
      <c r="DTE48" s="159"/>
      <c r="DTF48" s="159"/>
      <c r="DTG48" s="159"/>
      <c r="DTH48" s="159"/>
      <c r="DTI48" s="159"/>
      <c r="DTJ48" s="159"/>
      <c r="DTK48" s="159"/>
      <c r="DTL48" s="159"/>
      <c r="DTM48" s="159"/>
      <c r="DTN48" s="159"/>
      <c r="DTO48" s="159"/>
      <c r="DTP48" s="159"/>
      <c r="DTQ48" s="159"/>
      <c r="DTR48" s="159"/>
      <c r="DTS48" s="159"/>
      <c r="DTT48" s="159"/>
      <c r="DTU48" s="159"/>
      <c r="DTV48" s="159"/>
      <c r="DTW48" s="159"/>
      <c r="DTX48" s="159"/>
      <c r="DTY48" s="159"/>
      <c r="DTZ48" s="159"/>
      <c r="DUA48" s="159"/>
      <c r="DUB48" s="159"/>
      <c r="DUC48" s="159"/>
      <c r="DUD48" s="159"/>
      <c r="DUE48" s="159"/>
      <c r="DUF48" s="159"/>
      <c r="DUG48" s="159"/>
      <c r="DUH48" s="159"/>
      <c r="DUI48" s="159"/>
      <c r="DUJ48" s="159"/>
      <c r="DUK48" s="159"/>
      <c r="DUL48" s="159"/>
      <c r="DUM48" s="159"/>
      <c r="DUN48" s="159"/>
      <c r="DUO48" s="159"/>
      <c r="DUP48" s="159"/>
      <c r="DUQ48" s="159"/>
      <c r="DUR48" s="159"/>
      <c r="DUS48" s="159"/>
      <c r="DUT48" s="159"/>
      <c r="DUU48" s="159"/>
      <c r="DUV48" s="159"/>
      <c r="DUW48" s="159"/>
      <c r="DUX48" s="159"/>
      <c r="DUY48" s="159"/>
      <c r="DUZ48" s="159"/>
      <c r="DVA48" s="159"/>
      <c r="DVB48" s="159"/>
      <c r="DVC48" s="159"/>
      <c r="DVD48" s="159"/>
      <c r="DVE48" s="159"/>
      <c r="DVF48" s="159"/>
      <c r="DVG48" s="159"/>
      <c r="DVH48" s="159"/>
      <c r="DVI48" s="159"/>
      <c r="DVJ48" s="159"/>
      <c r="DVK48" s="159"/>
      <c r="DVL48" s="159"/>
      <c r="DVM48" s="159"/>
      <c r="DVN48" s="159"/>
      <c r="DVO48" s="159"/>
      <c r="DVP48" s="159"/>
      <c r="DVQ48" s="159"/>
      <c r="DVR48" s="159"/>
      <c r="DVS48" s="159"/>
      <c r="DVT48" s="159"/>
      <c r="DVU48" s="159"/>
      <c r="DVV48" s="159"/>
      <c r="DVW48" s="159"/>
      <c r="DVX48" s="159"/>
      <c r="DVY48" s="159"/>
      <c r="DVZ48" s="159"/>
      <c r="DWA48" s="159"/>
      <c r="DWB48" s="159"/>
      <c r="DWC48" s="159"/>
      <c r="DWD48" s="159"/>
      <c r="DWE48" s="159"/>
      <c r="DWF48" s="159"/>
      <c r="DWG48" s="159"/>
      <c r="DWH48" s="159"/>
      <c r="DWI48" s="159"/>
      <c r="DWJ48" s="159"/>
      <c r="DWK48" s="159"/>
      <c r="DWL48" s="159"/>
      <c r="DWM48" s="159"/>
      <c r="DWN48" s="159"/>
      <c r="DWO48" s="159"/>
      <c r="DWP48" s="159"/>
      <c r="DWQ48" s="159"/>
      <c r="DWR48" s="159"/>
      <c r="DWS48" s="159"/>
      <c r="DWT48" s="159"/>
      <c r="DWU48" s="159"/>
      <c r="DWV48" s="159"/>
      <c r="DWW48" s="159"/>
      <c r="DWX48" s="159"/>
      <c r="DWY48" s="159"/>
      <c r="DWZ48" s="159"/>
      <c r="DXA48" s="159"/>
      <c r="DXB48" s="159"/>
      <c r="DXC48" s="159"/>
      <c r="DXD48" s="159"/>
      <c r="DXE48" s="159"/>
      <c r="DXF48" s="159"/>
      <c r="DXG48" s="159"/>
      <c r="DXH48" s="159"/>
      <c r="DXI48" s="159"/>
      <c r="DXJ48" s="159"/>
      <c r="DXK48" s="159"/>
      <c r="DXL48" s="159"/>
      <c r="DXM48" s="159"/>
      <c r="DXN48" s="159"/>
      <c r="DXO48" s="159"/>
      <c r="DXP48" s="159"/>
      <c r="DXQ48" s="159"/>
      <c r="DXR48" s="159"/>
      <c r="DXS48" s="159"/>
      <c r="DXT48" s="159"/>
      <c r="DXU48" s="159"/>
      <c r="DXV48" s="159"/>
      <c r="DXW48" s="159"/>
      <c r="DXX48" s="159"/>
      <c r="DXY48" s="159"/>
      <c r="DXZ48" s="159"/>
      <c r="DYA48" s="159"/>
      <c r="DYB48" s="159"/>
      <c r="DYC48" s="159"/>
      <c r="DYD48" s="159"/>
      <c r="DYE48" s="159"/>
      <c r="DYF48" s="159"/>
      <c r="DYG48" s="159"/>
      <c r="DYH48" s="159"/>
      <c r="DYI48" s="159"/>
      <c r="DYJ48" s="159"/>
      <c r="DYK48" s="159"/>
      <c r="DYL48" s="159"/>
      <c r="DYM48" s="159"/>
      <c r="DYN48" s="159"/>
      <c r="DYO48" s="159"/>
      <c r="DYP48" s="159"/>
      <c r="DYQ48" s="159"/>
      <c r="DYR48" s="159"/>
      <c r="DYS48" s="159"/>
      <c r="DYT48" s="159"/>
      <c r="DYU48" s="159"/>
      <c r="DYV48" s="159"/>
      <c r="DYW48" s="159"/>
      <c r="DYX48" s="159"/>
      <c r="DYY48" s="159"/>
      <c r="DYZ48" s="159"/>
      <c r="DZA48" s="159"/>
      <c r="DZB48" s="159"/>
      <c r="DZC48" s="159"/>
      <c r="DZD48" s="159"/>
      <c r="DZE48" s="159"/>
      <c r="DZF48" s="159"/>
      <c r="DZG48" s="159"/>
      <c r="DZH48" s="159"/>
      <c r="DZI48" s="159"/>
      <c r="DZJ48" s="159"/>
      <c r="DZK48" s="159"/>
      <c r="DZL48" s="159"/>
      <c r="DZM48" s="159"/>
      <c r="DZN48" s="159"/>
      <c r="DZO48" s="159"/>
      <c r="DZP48" s="159"/>
      <c r="DZQ48" s="159"/>
      <c r="DZR48" s="159"/>
      <c r="DZS48" s="159"/>
      <c r="DZT48" s="159"/>
      <c r="DZU48" s="159"/>
      <c r="DZV48" s="159"/>
      <c r="DZW48" s="159"/>
      <c r="DZX48" s="159"/>
      <c r="DZY48" s="159"/>
      <c r="DZZ48" s="159"/>
      <c r="EAA48" s="159"/>
      <c r="EAB48" s="159"/>
      <c r="EAC48" s="159"/>
      <c r="EAD48" s="159"/>
      <c r="EAE48" s="159"/>
      <c r="EAF48" s="159"/>
      <c r="EAG48" s="159"/>
      <c r="EAH48" s="159"/>
      <c r="EAI48" s="159"/>
      <c r="EAJ48" s="159"/>
      <c r="EAK48" s="159"/>
      <c r="EAL48" s="159"/>
      <c r="EAM48" s="159"/>
      <c r="EAN48" s="159"/>
      <c r="EAO48" s="159"/>
      <c r="EAP48" s="159"/>
      <c r="EAQ48" s="159"/>
      <c r="EAR48" s="159"/>
      <c r="EAS48" s="159"/>
      <c r="EAT48" s="159"/>
      <c r="EAU48" s="159"/>
      <c r="EAV48" s="159"/>
      <c r="EAW48" s="159"/>
      <c r="EAX48" s="159"/>
      <c r="EAY48" s="159"/>
      <c r="EAZ48" s="159"/>
      <c r="EBA48" s="159"/>
      <c r="EBB48" s="159"/>
      <c r="EBC48" s="159"/>
      <c r="EBD48" s="159"/>
      <c r="EBE48" s="159"/>
      <c r="EBF48" s="159"/>
      <c r="EBG48" s="159"/>
      <c r="EBH48" s="159"/>
      <c r="EBI48" s="159"/>
      <c r="EBJ48" s="159"/>
      <c r="EBK48" s="159"/>
      <c r="EBL48" s="159"/>
      <c r="EBM48" s="159"/>
      <c r="EBN48" s="159"/>
      <c r="EBO48" s="159"/>
      <c r="EBP48" s="159"/>
      <c r="EBQ48" s="159"/>
      <c r="EBR48" s="159"/>
      <c r="EBS48" s="159"/>
      <c r="EBT48" s="159"/>
      <c r="EBU48" s="159"/>
      <c r="EBV48" s="159"/>
      <c r="EBW48" s="159"/>
      <c r="EBX48" s="159"/>
      <c r="EBY48" s="159"/>
      <c r="EBZ48" s="159"/>
      <c r="ECA48" s="159"/>
      <c r="ECB48" s="159"/>
      <c r="ECC48" s="159"/>
      <c r="ECD48" s="159"/>
      <c r="ECE48" s="159"/>
      <c r="ECF48" s="159"/>
      <c r="ECG48" s="159"/>
      <c r="ECH48" s="159"/>
      <c r="ECI48" s="159"/>
      <c r="ECJ48" s="159"/>
      <c r="ECK48" s="159"/>
      <c r="ECL48" s="159"/>
      <c r="ECM48" s="159"/>
      <c r="ECN48" s="159"/>
      <c r="ECO48" s="159"/>
      <c r="ECP48" s="159"/>
      <c r="ECQ48" s="159"/>
      <c r="ECR48" s="159"/>
      <c r="ECS48" s="159"/>
      <c r="ECT48" s="159"/>
      <c r="ECU48" s="159"/>
      <c r="ECV48" s="159"/>
      <c r="ECW48" s="159"/>
      <c r="ECX48" s="159"/>
      <c r="ECY48" s="159"/>
      <c r="ECZ48" s="159"/>
      <c r="EDA48" s="159"/>
      <c r="EDB48" s="159"/>
      <c r="EDC48" s="159"/>
      <c r="EDD48" s="159"/>
      <c r="EDE48" s="159"/>
      <c r="EDF48" s="159"/>
      <c r="EDG48" s="159"/>
      <c r="EDH48" s="159"/>
      <c r="EDI48" s="159"/>
      <c r="EDJ48" s="159"/>
      <c r="EDK48" s="159"/>
      <c r="EDL48" s="159"/>
      <c r="EDM48" s="159"/>
      <c r="EDN48" s="159"/>
      <c r="EDO48" s="159"/>
      <c r="EDP48" s="159"/>
      <c r="EDQ48" s="159"/>
      <c r="EDR48" s="159"/>
      <c r="EDS48" s="159"/>
      <c r="EDT48" s="159"/>
      <c r="EDU48" s="159"/>
      <c r="EDV48" s="159"/>
      <c r="EDW48" s="159"/>
      <c r="EDX48" s="159"/>
      <c r="EDY48" s="159"/>
      <c r="EDZ48" s="159"/>
      <c r="EEA48" s="159"/>
      <c r="EEB48" s="159"/>
      <c r="EEC48" s="159"/>
      <c r="EED48" s="159"/>
      <c r="EEE48" s="159"/>
      <c r="EEF48" s="159"/>
      <c r="EEG48" s="159"/>
      <c r="EEH48" s="159"/>
      <c r="EEI48" s="159"/>
      <c r="EEJ48" s="159"/>
      <c r="EEK48" s="159"/>
      <c r="EEL48" s="159"/>
      <c r="EEM48" s="159"/>
      <c r="EEN48" s="159"/>
      <c r="EEO48" s="159"/>
      <c r="EEP48" s="159"/>
      <c r="EEQ48" s="159"/>
      <c r="EER48" s="159"/>
      <c r="EES48" s="159"/>
      <c r="EET48" s="159"/>
      <c r="EEU48" s="159"/>
      <c r="EEV48" s="159"/>
      <c r="EEW48" s="159"/>
      <c r="EEX48" s="159"/>
      <c r="EEY48" s="159"/>
      <c r="EEZ48" s="159"/>
      <c r="EFA48" s="159"/>
      <c r="EFB48" s="159"/>
      <c r="EFC48" s="159"/>
      <c r="EFD48" s="159"/>
      <c r="EFE48" s="159"/>
      <c r="EFF48" s="159"/>
      <c r="EFG48" s="159"/>
      <c r="EFH48" s="159"/>
      <c r="EFI48" s="159"/>
      <c r="EFJ48" s="159"/>
      <c r="EFK48" s="159"/>
      <c r="EFL48" s="159"/>
      <c r="EFM48" s="159"/>
      <c r="EFN48" s="159"/>
      <c r="EFO48" s="159"/>
      <c r="EFP48" s="159"/>
      <c r="EFQ48" s="159"/>
      <c r="EFR48" s="159"/>
      <c r="EFS48" s="159"/>
      <c r="EFT48" s="159"/>
      <c r="EFU48" s="159"/>
      <c r="EFV48" s="159"/>
      <c r="EFW48" s="159"/>
      <c r="EFX48" s="159"/>
      <c r="EFY48" s="159"/>
      <c r="EFZ48" s="159"/>
      <c r="EGA48" s="159"/>
      <c r="EGB48" s="159"/>
      <c r="EGC48" s="159"/>
      <c r="EGD48" s="159"/>
      <c r="EGE48" s="159"/>
      <c r="EGF48" s="159"/>
      <c r="EGG48" s="159"/>
      <c r="EGH48" s="159"/>
      <c r="EGI48" s="159"/>
      <c r="EGJ48" s="159"/>
      <c r="EGK48" s="159"/>
      <c r="EGL48" s="159"/>
      <c r="EGM48" s="159"/>
      <c r="EGN48" s="159"/>
      <c r="EGO48" s="159"/>
      <c r="EGP48" s="159"/>
      <c r="EGQ48" s="159"/>
      <c r="EGR48" s="159"/>
      <c r="EGS48" s="159"/>
      <c r="EGT48" s="159"/>
      <c r="EGU48" s="159"/>
      <c r="EGV48" s="159"/>
      <c r="EGW48" s="159"/>
      <c r="EGX48" s="159"/>
      <c r="EGY48" s="159"/>
      <c r="EGZ48" s="159"/>
      <c r="EHA48" s="159"/>
      <c r="EHB48" s="159"/>
      <c r="EHC48" s="159"/>
      <c r="EHD48" s="159"/>
      <c r="EHE48" s="159"/>
      <c r="EHF48" s="159"/>
      <c r="EHG48" s="159"/>
      <c r="EHH48" s="159"/>
      <c r="EHI48" s="159"/>
      <c r="EHJ48" s="159"/>
      <c r="EHK48" s="159"/>
      <c r="EHL48" s="159"/>
      <c r="EHM48" s="159"/>
      <c r="EHN48" s="159"/>
      <c r="EHO48" s="159"/>
      <c r="EHP48" s="159"/>
      <c r="EHQ48" s="159"/>
      <c r="EHR48" s="159"/>
      <c r="EHS48" s="159"/>
      <c r="EHT48" s="159"/>
      <c r="EHU48" s="159"/>
      <c r="EHV48" s="159"/>
      <c r="EHW48" s="159"/>
      <c r="EHX48" s="159"/>
      <c r="EHY48" s="159"/>
      <c r="EHZ48" s="159"/>
      <c r="EIA48" s="159"/>
      <c r="EIB48" s="159"/>
      <c r="EIC48" s="159"/>
      <c r="EID48" s="159"/>
      <c r="EIE48" s="159"/>
      <c r="EIF48" s="159"/>
      <c r="EIG48" s="159"/>
      <c r="EIH48" s="159"/>
      <c r="EII48" s="159"/>
      <c r="EIJ48" s="159"/>
      <c r="EIK48" s="159"/>
      <c r="EIL48" s="159"/>
      <c r="EIM48" s="159"/>
      <c r="EIN48" s="159"/>
      <c r="EIO48" s="159"/>
      <c r="EIP48" s="159"/>
      <c r="EIQ48" s="159"/>
      <c r="EIR48" s="159"/>
      <c r="EIS48" s="159"/>
      <c r="EIT48" s="159"/>
      <c r="EIU48" s="159"/>
      <c r="EIV48" s="159"/>
      <c r="EIW48" s="159"/>
      <c r="EIX48" s="159"/>
      <c r="EIY48" s="159"/>
      <c r="EIZ48" s="159"/>
      <c r="EJA48" s="159"/>
      <c r="EJB48" s="159"/>
      <c r="EJC48" s="159"/>
      <c r="EJD48" s="159"/>
      <c r="EJE48" s="159"/>
      <c r="EJF48" s="159"/>
      <c r="EJG48" s="159"/>
      <c r="EJH48" s="159"/>
      <c r="EJI48" s="159"/>
      <c r="EJJ48" s="159"/>
      <c r="EJK48" s="159"/>
      <c r="EJL48" s="159"/>
      <c r="EJM48" s="159"/>
      <c r="EJN48" s="159"/>
      <c r="EJO48" s="159"/>
      <c r="EJP48" s="159"/>
      <c r="EJQ48" s="159"/>
      <c r="EJR48" s="159"/>
      <c r="EJS48" s="159"/>
      <c r="EJT48" s="159"/>
      <c r="EJU48" s="159"/>
      <c r="EJV48" s="159"/>
      <c r="EJW48" s="159"/>
      <c r="EJX48" s="159"/>
      <c r="EJY48" s="159"/>
      <c r="EJZ48" s="159"/>
      <c r="EKA48" s="159"/>
      <c r="EKB48" s="159"/>
      <c r="EKC48" s="159"/>
      <c r="EKD48" s="159"/>
      <c r="EKE48" s="159"/>
      <c r="EKF48" s="159"/>
      <c r="EKG48" s="159"/>
      <c r="EKH48" s="159"/>
      <c r="EKI48" s="159"/>
      <c r="EKJ48" s="159"/>
      <c r="EKK48" s="159"/>
      <c r="EKL48" s="159"/>
      <c r="EKM48" s="159"/>
      <c r="EKN48" s="159"/>
      <c r="EKO48" s="159"/>
      <c r="EKP48" s="159"/>
      <c r="EKQ48" s="159"/>
      <c r="EKR48" s="159"/>
      <c r="EKS48" s="159"/>
      <c r="EKT48" s="159"/>
      <c r="EKU48" s="159"/>
      <c r="EKV48" s="159"/>
      <c r="EKW48" s="159"/>
      <c r="EKX48" s="159"/>
      <c r="EKY48" s="159"/>
      <c r="EKZ48" s="159"/>
      <c r="ELA48" s="159"/>
      <c r="ELB48" s="159"/>
      <c r="ELC48" s="159"/>
      <c r="ELD48" s="159"/>
      <c r="ELE48" s="159"/>
      <c r="ELF48" s="159"/>
      <c r="ELG48" s="159"/>
      <c r="ELH48" s="159"/>
      <c r="ELI48" s="159"/>
      <c r="ELJ48" s="159"/>
      <c r="ELK48" s="159"/>
      <c r="ELL48" s="159"/>
      <c r="ELM48" s="159"/>
      <c r="ELN48" s="159"/>
      <c r="ELO48" s="159"/>
      <c r="ELP48" s="159"/>
      <c r="ELQ48" s="159"/>
      <c r="ELR48" s="159"/>
      <c r="ELS48" s="159"/>
      <c r="ELT48" s="159"/>
      <c r="ELU48" s="159"/>
      <c r="ELV48" s="159"/>
      <c r="ELW48" s="159"/>
      <c r="ELX48" s="159"/>
      <c r="ELY48" s="159"/>
      <c r="ELZ48" s="159"/>
      <c r="EMA48" s="159"/>
      <c r="EMB48" s="159"/>
      <c r="EMC48" s="159"/>
      <c r="EMD48" s="159"/>
      <c r="EME48" s="159"/>
      <c r="EMF48" s="159"/>
      <c r="EMG48" s="159"/>
      <c r="EMH48" s="159"/>
      <c r="EMI48" s="159"/>
      <c r="EMJ48" s="159"/>
      <c r="EMK48" s="159"/>
      <c r="EML48" s="159"/>
      <c r="EMM48" s="159"/>
      <c r="EMN48" s="159"/>
      <c r="EMO48" s="159"/>
      <c r="EMP48" s="159"/>
      <c r="EMQ48" s="159"/>
      <c r="EMR48" s="159"/>
      <c r="EMS48" s="159"/>
      <c r="EMT48" s="159"/>
      <c r="EMU48" s="159"/>
      <c r="EMV48" s="159"/>
      <c r="EMW48" s="159"/>
      <c r="EMX48" s="159"/>
      <c r="EMY48" s="159"/>
      <c r="EMZ48" s="159"/>
      <c r="ENA48" s="159"/>
      <c r="ENB48" s="159"/>
      <c r="ENC48" s="159"/>
      <c r="END48" s="159"/>
      <c r="ENE48" s="159"/>
      <c r="ENF48" s="159"/>
      <c r="ENG48" s="159"/>
      <c r="ENH48" s="159"/>
      <c r="ENI48" s="159"/>
      <c r="ENJ48" s="159"/>
      <c r="ENK48" s="159"/>
      <c r="ENL48" s="159"/>
      <c r="ENM48" s="159"/>
      <c r="ENN48" s="159"/>
      <c r="ENO48" s="159"/>
      <c r="ENP48" s="159"/>
      <c r="ENQ48" s="159"/>
      <c r="ENR48" s="159"/>
      <c r="ENS48" s="159"/>
      <c r="ENT48" s="159"/>
      <c r="ENU48" s="159"/>
      <c r="ENV48" s="159"/>
      <c r="ENW48" s="159"/>
      <c r="ENX48" s="159"/>
      <c r="ENY48" s="159"/>
      <c r="ENZ48" s="159"/>
      <c r="EOA48" s="159"/>
      <c r="EOB48" s="159"/>
      <c r="EOC48" s="159"/>
      <c r="EOD48" s="159"/>
      <c r="EOE48" s="159"/>
      <c r="EOF48" s="159"/>
      <c r="EOG48" s="159"/>
      <c r="EOH48" s="159"/>
      <c r="EOI48" s="159"/>
      <c r="EOJ48" s="159"/>
      <c r="EOK48" s="159"/>
      <c r="EOL48" s="159"/>
      <c r="EOM48" s="159"/>
      <c r="EON48" s="159"/>
      <c r="EOO48" s="159"/>
      <c r="EOP48" s="159"/>
      <c r="EOQ48" s="159"/>
      <c r="EOR48" s="159"/>
      <c r="EOS48" s="159"/>
      <c r="EOT48" s="159"/>
      <c r="EOU48" s="159"/>
      <c r="EOV48" s="159"/>
      <c r="EOW48" s="159"/>
      <c r="EOX48" s="159"/>
      <c r="EOY48" s="159"/>
      <c r="EOZ48" s="159"/>
      <c r="EPA48" s="159"/>
      <c r="EPB48" s="159"/>
      <c r="EPC48" s="159"/>
      <c r="EPD48" s="159"/>
      <c r="EPE48" s="159"/>
      <c r="EPF48" s="159"/>
      <c r="EPG48" s="159"/>
      <c r="EPH48" s="159"/>
      <c r="EPI48" s="159"/>
      <c r="EPJ48" s="159"/>
      <c r="EPK48" s="159"/>
      <c r="EPL48" s="159"/>
      <c r="EPM48" s="159"/>
      <c r="EPN48" s="159"/>
      <c r="EPO48" s="159"/>
      <c r="EPP48" s="159"/>
      <c r="EPQ48" s="159"/>
      <c r="EPR48" s="159"/>
      <c r="EPS48" s="159"/>
      <c r="EPT48" s="159"/>
      <c r="EPU48" s="159"/>
      <c r="EPV48" s="159"/>
      <c r="EPW48" s="159"/>
      <c r="EPX48" s="159"/>
      <c r="EPY48" s="159"/>
      <c r="EPZ48" s="159"/>
      <c r="EQA48" s="159"/>
      <c r="EQB48" s="159"/>
      <c r="EQC48" s="159"/>
      <c r="EQD48" s="159"/>
      <c r="EQE48" s="159"/>
      <c r="EQF48" s="159"/>
      <c r="EQG48" s="159"/>
      <c r="EQH48" s="159"/>
      <c r="EQI48" s="159"/>
      <c r="EQJ48" s="159"/>
      <c r="EQK48" s="159"/>
      <c r="EQL48" s="159"/>
      <c r="EQM48" s="159"/>
      <c r="EQN48" s="159"/>
      <c r="EQO48" s="159"/>
      <c r="EQP48" s="159"/>
      <c r="EQQ48" s="159"/>
      <c r="EQR48" s="159"/>
      <c r="EQS48" s="159"/>
      <c r="EQT48" s="159"/>
      <c r="EQU48" s="159"/>
      <c r="EQV48" s="159"/>
      <c r="EQW48" s="159"/>
      <c r="EQX48" s="159"/>
      <c r="EQY48" s="159"/>
      <c r="EQZ48" s="159"/>
      <c r="ERA48" s="159"/>
      <c r="ERB48" s="159"/>
      <c r="ERC48" s="159"/>
      <c r="ERD48" s="159"/>
      <c r="ERE48" s="159"/>
      <c r="ERF48" s="159"/>
      <c r="ERG48" s="159"/>
      <c r="ERH48" s="159"/>
      <c r="ERI48" s="159"/>
      <c r="ERJ48" s="159"/>
      <c r="ERK48" s="159"/>
      <c r="ERL48" s="159"/>
      <c r="ERM48" s="159"/>
      <c r="ERN48" s="159"/>
      <c r="ERO48" s="159"/>
      <c r="ERP48" s="159"/>
      <c r="ERQ48" s="159"/>
      <c r="ERR48" s="159"/>
      <c r="ERS48" s="159"/>
      <c r="ERT48" s="159"/>
      <c r="ERU48" s="159"/>
      <c r="ERV48" s="159"/>
      <c r="ERW48" s="159"/>
      <c r="ERX48" s="159"/>
      <c r="ERY48" s="159"/>
      <c r="ERZ48" s="159"/>
      <c r="ESA48" s="159"/>
      <c r="ESB48" s="159"/>
      <c r="ESC48" s="159"/>
      <c r="ESD48" s="159"/>
      <c r="ESE48" s="159"/>
      <c r="ESF48" s="159"/>
      <c r="ESG48" s="159"/>
      <c r="ESH48" s="159"/>
      <c r="ESI48" s="159"/>
      <c r="ESJ48" s="159"/>
      <c r="ESK48" s="159"/>
      <c r="ESL48" s="159"/>
      <c r="ESM48" s="159"/>
      <c r="ESN48" s="159"/>
      <c r="ESO48" s="159"/>
      <c r="ESP48" s="159"/>
      <c r="ESQ48" s="159"/>
      <c r="ESR48" s="159"/>
      <c r="ESS48" s="159"/>
      <c r="EST48" s="159"/>
      <c r="ESU48" s="159"/>
      <c r="ESV48" s="159"/>
      <c r="ESW48" s="159"/>
      <c r="ESX48" s="159"/>
      <c r="ESY48" s="159"/>
      <c r="ESZ48" s="159"/>
      <c r="ETA48" s="159"/>
      <c r="ETB48" s="159"/>
      <c r="ETC48" s="159"/>
      <c r="ETD48" s="159"/>
      <c r="ETE48" s="159"/>
      <c r="ETF48" s="159"/>
      <c r="ETG48" s="159"/>
      <c r="ETH48" s="159"/>
      <c r="ETI48" s="159"/>
      <c r="ETJ48" s="159"/>
      <c r="ETK48" s="159"/>
      <c r="ETL48" s="159"/>
      <c r="ETM48" s="159"/>
      <c r="ETN48" s="159"/>
      <c r="ETO48" s="159"/>
      <c r="ETP48" s="159"/>
      <c r="ETQ48" s="159"/>
      <c r="ETR48" s="159"/>
      <c r="ETS48" s="159"/>
      <c r="ETT48" s="159"/>
      <c r="ETU48" s="159"/>
      <c r="ETV48" s="159"/>
      <c r="ETW48" s="159"/>
      <c r="ETX48" s="159"/>
      <c r="ETY48" s="159"/>
      <c r="ETZ48" s="159"/>
      <c r="EUA48" s="159"/>
      <c r="EUB48" s="159"/>
      <c r="EUC48" s="159"/>
      <c r="EUD48" s="159"/>
      <c r="EUE48" s="159"/>
      <c r="EUF48" s="159"/>
      <c r="EUG48" s="159"/>
      <c r="EUH48" s="159"/>
      <c r="EUI48" s="159"/>
      <c r="EUJ48" s="159"/>
      <c r="EUK48" s="159"/>
      <c r="EUL48" s="159"/>
      <c r="EUM48" s="159"/>
      <c r="EUN48" s="159"/>
      <c r="EUO48" s="159"/>
      <c r="EUP48" s="159"/>
      <c r="EUQ48" s="159"/>
      <c r="EUR48" s="159"/>
      <c r="EUS48" s="159"/>
      <c r="EUT48" s="159"/>
      <c r="EUU48" s="159"/>
      <c r="EUV48" s="159"/>
      <c r="EUW48" s="159"/>
      <c r="EUX48" s="159"/>
      <c r="EUY48" s="159"/>
      <c r="EUZ48" s="159"/>
      <c r="EVA48" s="159"/>
      <c r="EVB48" s="159"/>
      <c r="EVC48" s="159"/>
      <c r="EVD48" s="159"/>
      <c r="EVE48" s="159"/>
      <c r="EVF48" s="159"/>
      <c r="EVG48" s="159"/>
      <c r="EVH48" s="159"/>
      <c r="EVI48" s="159"/>
      <c r="EVJ48" s="159"/>
      <c r="EVK48" s="159"/>
      <c r="EVL48" s="159"/>
      <c r="EVM48" s="159"/>
      <c r="EVN48" s="159"/>
      <c r="EVO48" s="159"/>
      <c r="EVP48" s="159"/>
      <c r="EVQ48" s="159"/>
      <c r="EVR48" s="159"/>
      <c r="EVS48" s="159"/>
      <c r="EVT48" s="159"/>
      <c r="EVU48" s="159"/>
      <c r="EVV48" s="159"/>
      <c r="EVW48" s="159"/>
      <c r="EVX48" s="159"/>
      <c r="EVY48" s="159"/>
      <c r="EVZ48" s="159"/>
      <c r="EWA48" s="159"/>
      <c r="EWB48" s="159"/>
      <c r="EWC48" s="159"/>
      <c r="EWD48" s="159"/>
      <c r="EWE48" s="159"/>
      <c r="EWF48" s="159"/>
      <c r="EWG48" s="159"/>
      <c r="EWH48" s="159"/>
      <c r="EWI48" s="159"/>
      <c r="EWJ48" s="159"/>
      <c r="EWK48" s="159"/>
      <c r="EWL48" s="159"/>
      <c r="EWM48" s="159"/>
      <c r="EWN48" s="159"/>
      <c r="EWO48" s="159"/>
      <c r="EWP48" s="159"/>
      <c r="EWQ48" s="159"/>
      <c r="EWR48" s="159"/>
      <c r="EWS48" s="159"/>
      <c r="EWT48" s="159"/>
      <c r="EWU48" s="159"/>
      <c r="EWV48" s="159"/>
      <c r="EWW48" s="159"/>
      <c r="EWX48" s="159"/>
      <c r="EWY48" s="159"/>
      <c r="EWZ48" s="159"/>
      <c r="EXA48" s="159"/>
      <c r="EXB48" s="159"/>
      <c r="EXC48" s="159"/>
      <c r="EXD48" s="159"/>
      <c r="EXE48" s="159"/>
      <c r="EXF48" s="159"/>
      <c r="EXG48" s="159"/>
      <c r="EXH48" s="159"/>
      <c r="EXI48" s="159"/>
      <c r="EXJ48" s="159"/>
      <c r="EXK48" s="159"/>
      <c r="EXL48" s="159"/>
      <c r="EXM48" s="159"/>
      <c r="EXN48" s="159"/>
      <c r="EXO48" s="159"/>
      <c r="EXP48" s="159"/>
      <c r="EXQ48" s="159"/>
      <c r="EXR48" s="159"/>
      <c r="EXS48" s="159"/>
      <c r="EXT48" s="159"/>
      <c r="EXU48" s="159"/>
      <c r="EXV48" s="159"/>
      <c r="EXW48" s="159"/>
      <c r="EXX48" s="159"/>
      <c r="EXY48" s="159"/>
      <c r="EXZ48" s="159"/>
      <c r="EYA48" s="159"/>
      <c r="EYB48" s="159"/>
      <c r="EYC48" s="159"/>
      <c r="EYD48" s="159"/>
      <c r="EYE48" s="159"/>
      <c r="EYF48" s="159"/>
      <c r="EYG48" s="159"/>
      <c r="EYH48" s="159"/>
      <c r="EYI48" s="159"/>
      <c r="EYJ48" s="159"/>
      <c r="EYK48" s="159"/>
      <c r="EYL48" s="159"/>
      <c r="EYM48" s="159"/>
      <c r="EYN48" s="159"/>
      <c r="EYO48" s="159"/>
      <c r="EYP48" s="159"/>
      <c r="EYQ48" s="159"/>
      <c r="EYR48" s="159"/>
      <c r="EYS48" s="159"/>
      <c r="EYT48" s="159"/>
      <c r="EYU48" s="159"/>
      <c r="EYV48" s="159"/>
      <c r="EYW48" s="159"/>
      <c r="EYX48" s="159"/>
      <c r="EYY48" s="159"/>
      <c r="EYZ48" s="159"/>
      <c r="EZA48" s="159"/>
      <c r="EZB48" s="159"/>
      <c r="EZC48" s="159"/>
      <c r="EZD48" s="159"/>
      <c r="EZE48" s="159"/>
      <c r="EZF48" s="159"/>
      <c r="EZG48" s="159"/>
      <c r="EZH48" s="159"/>
      <c r="EZI48" s="159"/>
      <c r="EZJ48" s="159"/>
      <c r="EZK48" s="159"/>
      <c r="EZL48" s="159"/>
      <c r="EZM48" s="159"/>
      <c r="EZN48" s="159"/>
      <c r="EZO48" s="159"/>
      <c r="EZP48" s="159"/>
      <c r="EZQ48" s="159"/>
      <c r="EZR48" s="159"/>
      <c r="EZS48" s="159"/>
      <c r="EZT48" s="159"/>
      <c r="EZU48" s="159"/>
      <c r="EZV48" s="159"/>
      <c r="EZW48" s="159"/>
      <c r="EZX48" s="159"/>
      <c r="EZY48" s="159"/>
      <c r="EZZ48" s="159"/>
      <c r="FAA48" s="159"/>
      <c r="FAB48" s="159"/>
      <c r="FAC48" s="159"/>
      <c r="FAD48" s="159"/>
      <c r="FAE48" s="159"/>
      <c r="FAF48" s="159"/>
      <c r="FAG48" s="159"/>
      <c r="FAH48" s="159"/>
      <c r="FAI48" s="159"/>
      <c r="FAJ48" s="159"/>
      <c r="FAK48" s="159"/>
      <c r="FAL48" s="159"/>
      <c r="FAM48" s="159"/>
      <c r="FAN48" s="159"/>
      <c r="FAO48" s="159"/>
      <c r="FAP48" s="159"/>
      <c r="FAQ48" s="159"/>
      <c r="FAR48" s="159"/>
      <c r="FAS48" s="159"/>
      <c r="FAT48" s="159"/>
      <c r="FAU48" s="159"/>
      <c r="FAV48" s="159"/>
      <c r="FAW48" s="159"/>
      <c r="FAX48" s="159"/>
      <c r="FAY48" s="159"/>
      <c r="FAZ48" s="159"/>
      <c r="FBA48" s="159"/>
      <c r="FBB48" s="159"/>
      <c r="FBC48" s="159"/>
      <c r="FBD48" s="159"/>
      <c r="FBE48" s="159"/>
      <c r="FBF48" s="159"/>
      <c r="FBG48" s="159"/>
      <c r="FBH48" s="159"/>
      <c r="FBI48" s="159"/>
      <c r="FBJ48" s="159"/>
      <c r="FBK48" s="159"/>
      <c r="FBL48" s="159"/>
      <c r="FBM48" s="159"/>
      <c r="FBN48" s="159"/>
      <c r="FBO48" s="159"/>
      <c r="FBP48" s="159"/>
      <c r="FBQ48" s="159"/>
      <c r="FBR48" s="159"/>
      <c r="FBS48" s="159"/>
      <c r="FBT48" s="159"/>
      <c r="FBU48" s="159"/>
      <c r="FBV48" s="159"/>
      <c r="FBW48" s="159"/>
      <c r="FBX48" s="159"/>
      <c r="FBY48" s="159"/>
      <c r="FBZ48" s="159"/>
      <c r="FCA48" s="159"/>
      <c r="FCB48" s="159"/>
      <c r="FCC48" s="159"/>
      <c r="FCD48" s="159"/>
      <c r="FCE48" s="159"/>
      <c r="FCF48" s="159"/>
      <c r="FCG48" s="159"/>
      <c r="FCH48" s="159"/>
      <c r="FCI48" s="159"/>
      <c r="FCJ48" s="159"/>
      <c r="FCK48" s="159"/>
      <c r="FCL48" s="159"/>
      <c r="FCM48" s="159"/>
      <c r="FCN48" s="159"/>
      <c r="FCO48" s="159"/>
      <c r="FCP48" s="159"/>
      <c r="FCQ48" s="159"/>
      <c r="FCR48" s="159"/>
      <c r="FCS48" s="159"/>
      <c r="FCT48" s="159"/>
      <c r="FCU48" s="159"/>
      <c r="FCV48" s="159"/>
      <c r="FCW48" s="159"/>
      <c r="FCX48" s="159"/>
      <c r="FCY48" s="159"/>
      <c r="FCZ48" s="159"/>
      <c r="FDA48" s="159"/>
      <c r="FDB48" s="159"/>
      <c r="FDC48" s="159"/>
      <c r="FDD48" s="159"/>
      <c r="FDE48" s="159"/>
      <c r="FDF48" s="159"/>
      <c r="FDG48" s="159"/>
      <c r="FDH48" s="159"/>
      <c r="FDI48" s="159"/>
      <c r="FDJ48" s="159"/>
      <c r="FDK48" s="159"/>
      <c r="FDL48" s="159"/>
      <c r="FDM48" s="159"/>
      <c r="FDN48" s="159"/>
      <c r="FDO48" s="159"/>
      <c r="FDP48" s="159"/>
      <c r="FDQ48" s="159"/>
      <c r="FDR48" s="159"/>
      <c r="FDS48" s="159"/>
      <c r="FDT48" s="159"/>
      <c r="FDU48" s="159"/>
      <c r="FDV48" s="159"/>
      <c r="FDW48" s="159"/>
      <c r="FDX48" s="159"/>
      <c r="FDY48" s="159"/>
      <c r="FDZ48" s="159"/>
      <c r="FEA48" s="159"/>
      <c r="FEB48" s="159"/>
      <c r="FEC48" s="159"/>
      <c r="FED48" s="159"/>
      <c r="FEE48" s="159"/>
      <c r="FEF48" s="159"/>
      <c r="FEG48" s="159"/>
      <c r="FEH48" s="159"/>
      <c r="FEI48" s="159"/>
      <c r="FEJ48" s="159"/>
      <c r="FEK48" s="159"/>
      <c r="FEL48" s="159"/>
      <c r="FEM48" s="159"/>
      <c r="FEN48" s="159"/>
      <c r="FEO48" s="159"/>
      <c r="FEP48" s="159"/>
      <c r="FEQ48" s="159"/>
      <c r="FER48" s="159"/>
      <c r="FES48" s="159"/>
      <c r="FET48" s="159"/>
      <c r="FEU48" s="159"/>
      <c r="FEV48" s="159"/>
      <c r="FEW48" s="159"/>
      <c r="FEX48" s="159"/>
      <c r="FEY48" s="159"/>
      <c r="FEZ48" s="159"/>
      <c r="FFA48" s="159"/>
      <c r="FFB48" s="159"/>
      <c r="FFC48" s="159"/>
      <c r="FFD48" s="159"/>
      <c r="FFE48" s="159"/>
      <c r="FFF48" s="159"/>
      <c r="FFG48" s="159"/>
      <c r="FFH48" s="159"/>
      <c r="FFI48" s="159"/>
      <c r="FFJ48" s="159"/>
      <c r="FFK48" s="159"/>
      <c r="FFL48" s="159"/>
      <c r="FFM48" s="159"/>
      <c r="FFN48" s="159"/>
      <c r="FFO48" s="159"/>
      <c r="FFP48" s="159"/>
      <c r="FFQ48" s="159"/>
      <c r="FFR48" s="159"/>
      <c r="FFS48" s="159"/>
      <c r="FFT48" s="159"/>
      <c r="FFU48" s="159"/>
      <c r="FFV48" s="159"/>
      <c r="FFW48" s="159"/>
      <c r="FFX48" s="159"/>
      <c r="FFY48" s="159"/>
      <c r="FFZ48" s="159"/>
      <c r="FGA48" s="159"/>
      <c r="FGB48" s="159"/>
      <c r="FGC48" s="159"/>
      <c r="FGD48" s="159"/>
      <c r="FGE48" s="159"/>
      <c r="FGF48" s="159"/>
      <c r="FGG48" s="159"/>
      <c r="FGH48" s="159"/>
      <c r="FGI48" s="159"/>
      <c r="FGJ48" s="159"/>
      <c r="FGK48" s="159"/>
      <c r="FGL48" s="159"/>
      <c r="FGM48" s="159"/>
      <c r="FGN48" s="159"/>
      <c r="FGO48" s="159"/>
      <c r="FGP48" s="159"/>
      <c r="FGQ48" s="159"/>
      <c r="FGR48" s="159"/>
      <c r="FGS48" s="159"/>
      <c r="FGT48" s="159"/>
      <c r="FGU48" s="159"/>
      <c r="FGV48" s="159"/>
      <c r="FGW48" s="159"/>
      <c r="FGX48" s="159"/>
      <c r="FGY48" s="159"/>
      <c r="FGZ48" s="159"/>
      <c r="FHA48" s="159"/>
      <c r="FHB48" s="159"/>
      <c r="FHC48" s="159"/>
      <c r="FHD48" s="159"/>
      <c r="FHE48" s="159"/>
      <c r="FHF48" s="159"/>
      <c r="FHG48" s="159"/>
      <c r="FHH48" s="159"/>
      <c r="FHI48" s="159"/>
      <c r="FHJ48" s="159"/>
      <c r="FHK48" s="159"/>
      <c r="FHL48" s="159"/>
      <c r="FHM48" s="159"/>
      <c r="FHN48" s="159"/>
      <c r="FHO48" s="159"/>
      <c r="FHP48" s="159"/>
      <c r="FHQ48" s="159"/>
      <c r="FHR48" s="159"/>
      <c r="FHS48" s="159"/>
      <c r="FHT48" s="159"/>
      <c r="FHU48" s="159"/>
      <c r="FHV48" s="159"/>
      <c r="FHW48" s="159"/>
      <c r="FHX48" s="159"/>
      <c r="FHY48" s="159"/>
      <c r="FHZ48" s="159"/>
      <c r="FIA48" s="159"/>
      <c r="FIB48" s="159"/>
      <c r="FIC48" s="159"/>
      <c r="FID48" s="159"/>
      <c r="FIE48" s="159"/>
      <c r="FIF48" s="159"/>
      <c r="FIG48" s="159"/>
      <c r="FIH48" s="159"/>
      <c r="FII48" s="159"/>
      <c r="FIJ48" s="159"/>
      <c r="FIK48" s="159"/>
      <c r="FIL48" s="159"/>
      <c r="FIM48" s="159"/>
      <c r="FIN48" s="159"/>
      <c r="FIO48" s="159"/>
      <c r="FIP48" s="159"/>
      <c r="FIQ48" s="159"/>
      <c r="FIR48" s="159"/>
      <c r="FIS48" s="159"/>
      <c r="FIT48" s="159"/>
      <c r="FIU48" s="159"/>
      <c r="FIV48" s="159"/>
      <c r="FIW48" s="159"/>
      <c r="FIX48" s="159"/>
      <c r="FIY48" s="159"/>
      <c r="FIZ48" s="159"/>
      <c r="FJA48" s="159"/>
      <c r="FJB48" s="159"/>
      <c r="FJC48" s="159"/>
      <c r="FJD48" s="159"/>
      <c r="FJE48" s="159"/>
      <c r="FJF48" s="159"/>
      <c r="FJG48" s="159"/>
      <c r="FJH48" s="159"/>
      <c r="FJI48" s="159"/>
      <c r="FJJ48" s="159"/>
      <c r="FJK48" s="159"/>
      <c r="FJL48" s="159"/>
      <c r="FJM48" s="159"/>
      <c r="FJN48" s="159"/>
      <c r="FJO48" s="159"/>
      <c r="FJP48" s="159"/>
      <c r="FJQ48" s="159"/>
      <c r="FJR48" s="159"/>
      <c r="FJS48" s="159"/>
      <c r="FJT48" s="159"/>
      <c r="FJU48" s="159"/>
      <c r="FJV48" s="159"/>
      <c r="FJW48" s="159"/>
      <c r="FJX48" s="159"/>
      <c r="FJY48" s="159"/>
      <c r="FJZ48" s="159"/>
      <c r="FKA48" s="159"/>
      <c r="FKB48" s="159"/>
      <c r="FKC48" s="159"/>
      <c r="FKD48" s="159"/>
      <c r="FKE48" s="159"/>
      <c r="FKF48" s="159"/>
      <c r="FKG48" s="159"/>
      <c r="FKH48" s="159"/>
      <c r="FKI48" s="159"/>
      <c r="FKJ48" s="159"/>
      <c r="FKK48" s="159"/>
      <c r="FKL48" s="159"/>
      <c r="FKM48" s="159"/>
      <c r="FKN48" s="159"/>
      <c r="FKO48" s="159"/>
      <c r="FKP48" s="159"/>
      <c r="FKQ48" s="159"/>
      <c r="FKR48" s="159"/>
      <c r="FKS48" s="159"/>
      <c r="FKT48" s="159"/>
      <c r="FKU48" s="159"/>
      <c r="FKV48" s="159"/>
      <c r="FKW48" s="159"/>
      <c r="FKX48" s="159"/>
      <c r="FKY48" s="159"/>
      <c r="FKZ48" s="159"/>
      <c r="FLA48" s="159"/>
      <c r="FLB48" s="159"/>
      <c r="FLC48" s="159"/>
      <c r="FLD48" s="159"/>
      <c r="FLE48" s="159"/>
      <c r="FLF48" s="159"/>
      <c r="FLG48" s="159"/>
      <c r="FLH48" s="159"/>
      <c r="FLI48" s="159"/>
      <c r="FLJ48" s="159"/>
      <c r="FLK48" s="159"/>
      <c r="FLL48" s="159"/>
      <c r="FLM48" s="159"/>
      <c r="FLN48" s="159"/>
      <c r="FLO48" s="159"/>
      <c r="FLP48" s="159"/>
      <c r="FLQ48" s="159"/>
      <c r="FLR48" s="159"/>
      <c r="FLS48" s="159"/>
      <c r="FLT48" s="159"/>
      <c r="FLU48" s="159"/>
      <c r="FLV48" s="159"/>
      <c r="FLW48" s="159"/>
      <c r="FLX48" s="159"/>
      <c r="FLY48" s="159"/>
      <c r="FLZ48" s="159"/>
      <c r="FMA48" s="159"/>
      <c r="FMB48" s="159"/>
      <c r="FMC48" s="159"/>
      <c r="FMD48" s="159"/>
      <c r="FME48" s="159"/>
      <c r="FMF48" s="159"/>
      <c r="FMG48" s="159"/>
      <c r="FMH48" s="159"/>
      <c r="FMI48" s="159"/>
      <c r="FMJ48" s="159"/>
      <c r="FMK48" s="159"/>
      <c r="FML48" s="159"/>
      <c r="FMM48" s="159"/>
      <c r="FMN48" s="159"/>
      <c r="FMO48" s="159"/>
      <c r="FMP48" s="159"/>
      <c r="FMQ48" s="159"/>
      <c r="FMR48" s="159"/>
      <c r="FMS48" s="159"/>
      <c r="FMT48" s="159"/>
      <c r="FMU48" s="159"/>
      <c r="FMV48" s="159"/>
      <c r="FMW48" s="159"/>
      <c r="FMX48" s="159"/>
      <c r="FMY48" s="159"/>
      <c r="FMZ48" s="159"/>
      <c r="FNA48" s="159"/>
      <c r="FNB48" s="159"/>
      <c r="FNC48" s="159"/>
      <c r="FND48" s="159"/>
      <c r="FNE48" s="159"/>
      <c r="FNF48" s="159"/>
      <c r="FNG48" s="159"/>
      <c r="FNH48" s="159"/>
      <c r="FNI48" s="159"/>
      <c r="FNJ48" s="159"/>
      <c r="FNK48" s="159"/>
      <c r="FNL48" s="159"/>
      <c r="FNM48" s="159"/>
      <c r="FNN48" s="159"/>
      <c r="FNO48" s="159"/>
      <c r="FNP48" s="159"/>
      <c r="FNQ48" s="159"/>
      <c r="FNR48" s="159"/>
      <c r="FNS48" s="159"/>
      <c r="FNT48" s="159"/>
      <c r="FNU48" s="159"/>
      <c r="FNV48" s="159"/>
      <c r="FNW48" s="159"/>
      <c r="FNX48" s="159"/>
      <c r="FNY48" s="159"/>
      <c r="FNZ48" s="159"/>
      <c r="FOA48" s="159"/>
      <c r="FOB48" s="159"/>
      <c r="FOC48" s="159"/>
      <c r="FOD48" s="159"/>
      <c r="FOE48" s="159"/>
      <c r="FOF48" s="159"/>
      <c r="FOG48" s="159"/>
      <c r="FOH48" s="159"/>
      <c r="FOI48" s="159"/>
      <c r="FOJ48" s="159"/>
      <c r="FOK48" s="159"/>
      <c r="FOL48" s="159"/>
      <c r="FOM48" s="159"/>
      <c r="FON48" s="159"/>
      <c r="FOO48" s="159"/>
      <c r="FOP48" s="159"/>
      <c r="FOQ48" s="159"/>
      <c r="FOR48" s="159"/>
      <c r="FOS48" s="159"/>
      <c r="FOT48" s="159"/>
      <c r="FOU48" s="159"/>
      <c r="FOV48" s="159"/>
      <c r="FOW48" s="159"/>
      <c r="FOX48" s="159"/>
      <c r="FOY48" s="159"/>
      <c r="FOZ48" s="159"/>
      <c r="FPA48" s="159"/>
      <c r="FPB48" s="159"/>
      <c r="FPC48" s="159"/>
      <c r="FPD48" s="159"/>
      <c r="FPE48" s="159"/>
      <c r="FPF48" s="159"/>
      <c r="FPG48" s="159"/>
      <c r="FPH48" s="159"/>
      <c r="FPI48" s="159"/>
      <c r="FPJ48" s="159"/>
      <c r="FPK48" s="159"/>
      <c r="FPL48" s="159"/>
      <c r="FPM48" s="159"/>
      <c r="FPN48" s="159"/>
      <c r="FPO48" s="159"/>
      <c r="FPP48" s="159"/>
      <c r="FPQ48" s="159"/>
      <c r="FPR48" s="159"/>
      <c r="FPS48" s="159"/>
      <c r="FPT48" s="159"/>
      <c r="FPU48" s="159"/>
      <c r="FPV48" s="159"/>
      <c r="FPW48" s="159"/>
      <c r="FPX48" s="159"/>
      <c r="FPY48" s="159"/>
      <c r="FPZ48" s="159"/>
      <c r="FQA48" s="159"/>
      <c r="FQB48" s="159"/>
      <c r="FQC48" s="159"/>
      <c r="FQD48" s="159"/>
      <c r="FQE48" s="159"/>
      <c r="FQF48" s="159"/>
      <c r="FQG48" s="159"/>
      <c r="FQH48" s="159"/>
      <c r="FQI48" s="159"/>
      <c r="FQJ48" s="159"/>
      <c r="FQK48" s="159"/>
      <c r="FQL48" s="159"/>
      <c r="FQM48" s="159"/>
      <c r="FQN48" s="159"/>
      <c r="FQO48" s="159"/>
      <c r="FQP48" s="159"/>
      <c r="FQQ48" s="159"/>
      <c r="FQR48" s="159"/>
      <c r="FQS48" s="159"/>
      <c r="FQT48" s="159"/>
      <c r="FQU48" s="159"/>
      <c r="FQV48" s="159"/>
      <c r="FQW48" s="159"/>
      <c r="FQX48" s="159"/>
      <c r="FQY48" s="159"/>
      <c r="FQZ48" s="159"/>
      <c r="FRA48" s="159"/>
      <c r="FRB48" s="159"/>
      <c r="FRC48" s="159"/>
      <c r="FRD48" s="159"/>
      <c r="FRE48" s="159"/>
      <c r="FRF48" s="159"/>
      <c r="FRG48" s="159"/>
      <c r="FRH48" s="159"/>
      <c r="FRI48" s="159"/>
      <c r="FRJ48" s="159"/>
      <c r="FRK48" s="159"/>
      <c r="FRL48" s="159"/>
      <c r="FRM48" s="159"/>
      <c r="FRN48" s="159"/>
      <c r="FRO48" s="159"/>
      <c r="FRP48" s="159"/>
      <c r="FRQ48" s="159"/>
      <c r="FRR48" s="159"/>
      <c r="FRS48" s="159"/>
      <c r="FRT48" s="159"/>
      <c r="FRU48" s="159"/>
      <c r="FRV48" s="159"/>
      <c r="FRW48" s="159"/>
      <c r="FRX48" s="159"/>
      <c r="FRY48" s="159"/>
      <c r="FRZ48" s="159"/>
      <c r="FSA48" s="159"/>
      <c r="FSB48" s="159"/>
      <c r="FSC48" s="159"/>
      <c r="FSD48" s="159"/>
      <c r="FSE48" s="159"/>
      <c r="FSF48" s="159"/>
      <c r="FSG48" s="159"/>
      <c r="FSH48" s="159"/>
      <c r="FSI48" s="159"/>
      <c r="FSJ48" s="159"/>
      <c r="FSK48" s="159"/>
      <c r="FSL48" s="159"/>
      <c r="FSM48" s="159"/>
      <c r="FSN48" s="159"/>
      <c r="FSO48" s="159"/>
      <c r="FSP48" s="159"/>
      <c r="FSQ48" s="159"/>
      <c r="FSR48" s="159"/>
      <c r="FSS48" s="159"/>
      <c r="FST48" s="159"/>
      <c r="FSU48" s="159"/>
      <c r="FSV48" s="159"/>
      <c r="FSW48" s="159"/>
      <c r="FSX48" s="159"/>
      <c r="FSY48" s="159"/>
      <c r="FSZ48" s="159"/>
      <c r="FTA48" s="159"/>
      <c r="FTB48" s="159"/>
      <c r="FTC48" s="159"/>
      <c r="FTD48" s="159"/>
      <c r="FTE48" s="159"/>
      <c r="FTF48" s="159"/>
      <c r="FTG48" s="159"/>
      <c r="FTH48" s="159"/>
      <c r="FTI48" s="159"/>
      <c r="FTJ48" s="159"/>
      <c r="FTK48" s="159"/>
      <c r="FTL48" s="159"/>
      <c r="FTM48" s="159"/>
      <c r="FTN48" s="159"/>
      <c r="FTO48" s="159"/>
      <c r="FTP48" s="159"/>
      <c r="FTQ48" s="159"/>
      <c r="FTR48" s="159"/>
      <c r="FTS48" s="159"/>
      <c r="FTT48" s="159"/>
      <c r="FTU48" s="159"/>
      <c r="FTV48" s="159"/>
      <c r="FTW48" s="159"/>
      <c r="FTX48" s="159"/>
      <c r="FTY48" s="159"/>
      <c r="FTZ48" s="159"/>
      <c r="FUA48" s="159"/>
      <c r="FUB48" s="159"/>
      <c r="FUC48" s="159"/>
      <c r="FUD48" s="159"/>
      <c r="FUE48" s="159"/>
      <c r="FUF48" s="159"/>
      <c r="FUG48" s="159"/>
      <c r="FUH48" s="159"/>
      <c r="FUI48" s="159"/>
      <c r="FUJ48" s="159"/>
      <c r="FUK48" s="159"/>
      <c r="FUL48" s="159"/>
      <c r="FUM48" s="159"/>
      <c r="FUN48" s="159"/>
      <c r="FUO48" s="159"/>
      <c r="FUP48" s="159"/>
      <c r="FUQ48" s="159"/>
      <c r="FUR48" s="159"/>
      <c r="FUS48" s="159"/>
      <c r="FUT48" s="159"/>
      <c r="FUU48" s="159"/>
      <c r="FUV48" s="159"/>
      <c r="FUW48" s="159"/>
      <c r="FUX48" s="159"/>
      <c r="FUY48" s="159"/>
      <c r="FUZ48" s="159"/>
      <c r="FVA48" s="159"/>
      <c r="FVB48" s="159"/>
      <c r="FVC48" s="159"/>
      <c r="FVD48" s="159"/>
      <c r="FVE48" s="159"/>
      <c r="FVF48" s="159"/>
      <c r="FVG48" s="159"/>
      <c r="FVH48" s="159"/>
      <c r="FVI48" s="159"/>
      <c r="FVJ48" s="159"/>
      <c r="FVK48" s="159"/>
      <c r="FVL48" s="159"/>
      <c r="FVM48" s="159"/>
      <c r="FVN48" s="159"/>
      <c r="FVO48" s="159"/>
      <c r="FVP48" s="159"/>
      <c r="FVQ48" s="159"/>
      <c r="FVR48" s="159"/>
      <c r="FVS48" s="159"/>
      <c r="FVT48" s="159"/>
      <c r="FVU48" s="159"/>
      <c r="FVV48" s="159"/>
      <c r="FVW48" s="159"/>
      <c r="FVX48" s="159"/>
      <c r="FVY48" s="159"/>
      <c r="FVZ48" s="159"/>
      <c r="FWA48" s="159"/>
      <c r="FWB48" s="159"/>
      <c r="FWC48" s="159"/>
      <c r="FWD48" s="159"/>
      <c r="FWE48" s="159"/>
      <c r="FWF48" s="159"/>
      <c r="FWG48" s="159"/>
      <c r="FWH48" s="159"/>
      <c r="FWI48" s="159"/>
      <c r="FWJ48" s="159"/>
      <c r="FWK48" s="159"/>
      <c r="FWL48" s="159"/>
      <c r="FWM48" s="159"/>
      <c r="FWN48" s="159"/>
      <c r="FWO48" s="159"/>
      <c r="FWP48" s="159"/>
      <c r="FWQ48" s="159"/>
      <c r="FWR48" s="159"/>
      <c r="FWS48" s="159"/>
      <c r="FWT48" s="159"/>
      <c r="FWU48" s="159"/>
      <c r="FWV48" s="159"/>
      <c r="FWW48" s="159"/>
      <c r="FWX48" s="159"/>
      <c r="FWY48" s="159"/>
      <c r="FWZ48" s="159"/>
      <c r="FXA48" s="159"/>
      <c r="FXB48" s="159"/>
      <c r="FXC48" s="159"/>
      <c r="FXD48" s="159"/>
      <c r="FXE48" s="159"/>
      <c r="FXF48" s="159"/>
      <c r="FXG48" s="159"/>
      <c r="FXH48" s="159"/>
      <c r="FXI48" s="159"/>
      <c r="FXJ48" s="159"/>
      <c r="FXK48" s="159"/>
      <c r="FXL48" s="159"/>
      <c r="FXM48" s="159"/>
      <c r="FXN48" s="159"/>
      <c r="FXO48" s="159"/>
      <c r="FXP48" s="159"/>
      <c r="FXQ48" s="159"/>
      <c r="FXR48" s="159"/>
      <c r="FXS48" s="159"/>
      <c r="FXT48" s="159"/>
      <c r="FXU48" s="159"/>
      <c r="FXV48" s="159"/>
      <c r="FXW48" s="159"/>
      <c r="FXX48" s="159"/>
      <c r="FXY48" s="159"/>
      <c r="FXZ48" s="159"/>
      <c r="FYA48" s="159"/>
      <c r="FYB48" s="159"/>
      <c r="FYC48" s="159"/>
      <c r="FYD48" s="159"/>
      <c r="FYE48" s="159"/>
      <c r="FYF48" s="159"/>
      <c r="FYG48" s="159"/>
      <c r="FYH48" s="159"/>
      <c r="FYI48" s="159"/>
      <c r="FYJ48" s="159"/>
      <c r="FYK48" s="159"/>
      <c r="FYL48" s="159"/>
      <c r="FYM48" s="159"/>
      <c r="FYN48" s="159"/>
      <c r="FYO48" s="159"/>
      <c r="FYP48" s="159"/>
      <c r="FYQ48" s="159"/>
      <c r="FYR48" s="159"/>
      <c r="FYS48" s="159"/>
      <c r="FYT48" s="159"/>
      <c r="FYU48" s="159"/>
      <c r="FYV48" s="159"/>
      <c r="FYW48" s="159"/>
      <c r="FYX48" s="159"/>
      <c r="FYY48" s="159"/>
      <c r="FYZ48" s="159"/>
      <c r="FZA48" s="159"/>
      <c r="FZB48" s="159"/>
      <c r="FZC48" s="159"/>
      <c r="FZD48" s="159"/>
      <c r="FZE48" s="159"/>
      <c r="FZF48" s="159"/>
      <c r="FZG48" s="159"/>
      <c r="FZH48" s="159"/>
      <c r="FZI48" s="159"/>
      <c r="FZJ48" s="159"/>
      <c r="FZK48" s="159"/>
      <c r="FZL48" s="159"/>
      <c r="FZM48" s="159"/>
      <c r="FZN48" s="159"/>
      <c r="FZO48" s="159"/>
      <c r="FZP48" s="159"/>
      <c r="FZQ48" s="159"/>
      <c r="FZR48" s="159"/>
      <c r="FZS48" s="159"/>
      <c r="FZT48" s="159"/>
      <c r="FZU48" s="159"/>
      <c r="FZV48" s="159"/>
      <c r="FZW48" s="159"/>
      <c r="FZX48" s="159"/>
      <c r="FZY48" s="159"/>
      <c r="FZZ48" s="159"/>
      <c r="GAA48" s="159"/>
      <c r="GAB48" s="159"/>
      <c r="GAC48" s="159"/>
      <c r="GAD48" s="159"/>
      <c r="GAE48" s="159"/>
      <c r="GAF48" s="159"/>
      <c r="GAG48" s="159"/>
      <c r="GAH48" s="159"/>
      <c r="GAI48" s="159"/>
      <c r="GAJ48" s="159"/>
      <c r="GAK48" s="159"/>
      <c r="GAL48" s="159"/>
      <c r="GAM48" s="159"/>
      <c r="GAN48" s="159"/>
      <c r="GAO48" s="159"/>
      <c r="GAP48" s="159"/>
      <c r="GAQ48" s="159"/>
      <c r="GAR48" s="159"/>
      <c r="GAS48" s="159"/>
      <c r="GAT48" s="159"/>
      <c r="GAU48" s="159"/>
      <c r="GAV48" s="159"/>
      <c r="GAW48" s="159"/>
      <c r="GAX48" s="159"/>
      <c r="GAY48" s="159"/>
      <c r="GAZ48" s="159"/>
      <c r="GBA48" s="159"/>
      <c r="GBB48" s="159"/>
      <c r="GBC48" s="159"/>
      <c r="GBD48" s="159"/>
      <c r="GBE48" s="159"/>
      <c r="GBF48" s="159"/>
      <c r="GBG48" s="159"/>
      <c r="GBH48" s="159"/>
      <c r="GBI48" s="159"/>
      <c r="GBJ48" s="159"/>
      <c r="GBK48" s="159"/>
      <c r="GBL48" s="159"/>
      <c r="GBM48" s="159"/>
      <c r="GBN48" s="159"/>
      <c r="GBO48" s="159"/>
      <c r="GBP48" s="159"/>
      <c r="GBQ48" s="159"/>
      <c r="GBR48" s="159"/>
      <c r="GBS48" s="159"/>
      <c r="GBT48" s="159"/>
      <c r="GBU48" s="159"/>
      <c r="GBV48" s="159"/>
      <c r="GBW48" s="159"/>
      <c r="GBX48" s="159"/>
      <c r="GBY48" s="159"/>
      <c r="GBZ48" s="159"/>
      <c r="GCA48" s="159"/>
      <c r="GCB48" s="159"/>
      <c r="GCC48" s="159"/>
      <c r="GCD48" s="159"/>
      <c r="GCE48" s="159"/>
      <c r="GCF48" s="159"/>
      <c r="GCG48" s="159"/>
      <c r="GCH48" s="159"/>
      <c r="GCI48" s="159"/>
      <c r="GCJ48" s="159"/>
      <c r="GCK48" s="159"/>
      <c r="GCL48" s="159"/>
      <c r="GCM48" s="159"/>
      <c r="GCN48" s="159"/>
      <c r="GCO48" s="159"/>
      <c r="GCP48" s="159"/>
      <c r="GCQ48" s="159"/>
      <c r="GCR48" s="159"/>
      <c r="GCS48" s="159"/>
      <c r="GCT48" s="159"/>
      <c r="GCU48" s="159"/>
      <c r="GCV48" s="159"/>
      <c r="GCW48" s="159"/>
      <c r="GCX48" s="159"/>
      <c r="GCY48" s="159"/>
      <c r="GCZ48" s="159"/>
      <c r="GDA48" s="159"/>
      <c r="GDB48" s="159"/>
      <c r="GDC48" s="159"/>
      <c r="GDD48" s="159"/>
      <c r="GDE48" s="159"/>
      <c r="GDF48" s="159"/>
      <c r="GDG48" s="159"/>
      <c r="GDH48" s="159"/>
      <c r="GDI48" s="159"/>
      <c r="GDJ48" s="159"/>
      <c r="GDK48" s="159"/>
      <c r="GDL48" s="159"/>
      <c r="GDM48" s="159"/>
      <c r="GDN48" s="159"/>
      <c r="GDO48" s="159"/>
      <c r="GDP48" s="159"/>
      <c r="GDQ48" s="159"/>
      <c r="GDR48" s="159"/>
      <c r="GDS48" s="159"/>
      <c r="GDT48" s="159"/>
      <c r="GDU48" s="159"/>
      <c r="GDV48" s="159"/>
      <c r="GDW48" s="159"/>
      <c r="GDX48" s="159"/>
      <c r="GDY48" s="159"/>
      <c r="GDZ48" s="159"/>
      <c r="GEA48" s="159"/>
      <c r="GEB48" s="159"/>
      <c r="GEC48" s="159"/>
      <c r="GED48" s="159"/>
      <c r="GEE48" s="159"/>
      <c r="GEF48" s="159"/>
      <c r="GEG48" s="159"/>
      <c r="GEH48" s="159"/>
      <c r="GEI48" s="159"/>
      <c r="GEJ48" s="159"/>
      <c r="GEK48" s="159"/>
      <c r="GEL48" s="159"/>
      <c r="GEM48" s="159"/>
      <c r="GEN48" s="159"/>
      <c r="GEO48" s="159"/>
      <c r="GEP48" s="159"/>
      <c r="GEQ48" s="159"/>
      <c r="GER48" s="159"/>
      <c r="GES48" s="159"/>
      <c r="GET48" s="159"/>
      <c r="GEU48" s="159"/>
      <c r="GEV48" s="159"/>
      <c r="GEW48" s="159"/>
      <c r="GEX48" s="159"/>
      <c r="GEY48" s="159"/>
      <c r="GEZ48" s="159"/>
      <c r="GFA48" s="159"/>
      <c r="GFB48" s="159"/>
      <c r="GFC48" s="159"/>
      <c r="GFD48" s="159"/>
      <c r="GFE48" s="159"/>
      <c r="GFF48" s="159"/>
      <c r="GFG48" s="159"/>
      <c r="GFH48" s="159"/>
      <c r="GFI48" s="159"/>
      <c r="GFJ48" s="159"/>
      <c r="GFK48" s="159"/>
      <c r="GFL48" s="159"/>
      <c r="GFM48" s="159"/>
      <c r="GFN48" s="159"/>
      <c r="GFO48" s="159"/>
      <c r="GFP48" s="159"/>
      <c r="GFQ48" s="159"/>
      <c r="GFR48" s="159"/>
      <c r="GFS48" s="159"/>
      <c r="GFT48" s="159"/>
      <c r="GFU48" s="159"/>
      <c r="GFV48" s="159"/>
      <c r="GFW48" s="159"/>
      <c r="GFX48" s="159"/>
      <c r="GFY48" s="159"/>
      <c r="GFZ48" s="159"/>
      <c r="GGA48" s="159"/>
      <c r="GGB48" s="159"/>
      <c r="GGC48" s="159"/>
      <c r="GGD48" s="159"/>
      <c r="GGE48" s="159"/>
      <c r="GGF48" s="159"/>
      <c r="GGG48" s="159"/>
      <c r="GGH48" s="159"/>
      <c r="GGI48" s="159"/>
      <c r="GGJ48" s="159"/>
      <c r="GGK48" s="159"/>
      <c r="GGL48" s="159"/>
      <c r="GGM48" s="159"/>
      <c r="GGN48" s="159"/>
      <c r="GGO48" s="159"/>
      <c r="GGP48" s="159"/>
      <c r="GGQ48" s="159"/>
      <c r="GGR48" s="159"/>
      <c r="GGS48" s="159"/>
      <c r="GGT48" s="159"/>
      <c r="GGU48" s="159"/>
      <c r="GGV48" s="159"/>
      <c r="GGW48" s="159"/>
      <c r="GGX48" s="159"/>
      <c r="GGY48" s="159"/>
      <c r="GGZ48" s="159"/>
      <c r="GHA48" s="159"/>
      <c r="GHB48" s="159"/>
      <c r="GHC48" s="159"/>
      <c r="GHD48" s="159"/>
      <c r="GHE48" s="159"/>
      <c r="GHF48" s="159"/>
      <c r="GHG48" s="159"/>
      <c r="GHH48" s="159"/>
      <c r="GHI48" s="159"/>
      <c r="GHJ48" s="159"/>
      <c r="GHK48" s="159"/>
      <c r="GHL48" s="159"/>
      <c r="GHM48" s="159"/>
      <c r="GHN48" s="159"/>
      <c r="GHO48" s="159"/>
      <c r="GHP48" s="159"/>
      <c r="GHQ48" s="159"/>
      <c r="GHR48" s="159"/>
      <c r="GHS48" s="159"/>
      <c r="GHT48" s="159"/>
      <c r="GHU48" s="159"/>
      <c r="GHV48" s="159"/>
      <c r="GHW48" s="159"/>
      <c r="GHX48" s="159"/>
      <c r="GHY48" s="159"/>
      <c r="GHZ48" s="159"/>
      <c r="GIA48" s="159"/>
      <c r="GIB48" s="159"/>
      <c r="GIC48" s="159"/>
      <c r="GID48" s="159"/>
      <c r="GIE48" s="159"/>
      <c r="GIF48" s="159"/>
      <c r="GIG48" s="159"/>
      <c r="GIH48" s="159"/>
      <c r="GII48" s="159"/>
      <c r="GIJ48" s="159"/>
      <c r="GIK48" s="159"/>
      <c r="GIL48" s="159"/>
      <c r="GIM48" s="159"/>
      <c r="GIN48" s="159"/>
      <c r="GIO48" s="159"/>
      <c r="GIP48" s="159"/>
      <c r="GIQ48" s="159"/>
      <c r="GIR48" s="159"/>
      <c r="GIS48" s="159"/>
      <c r="GIT48" s="159"/>
      <c r="GIU48" s="159"/>
      <c r="GIV48" s="159"/>
      <c r="GIW48" s="159"/>
      <c r="GIX48" s="159"/>
      <c r="GIY48" s="159"/>
      <c r="GIZ48" s="159"/>
      <c r="GJA48" s="159"/>
      <c r="GJB48" s="159"/>
      <c r="GJC48" s="159"/>
      <c r="GJD48" s="159"/>
      <c r="GJE48" s="159"/>
      <c r="GJF48" s="159"/>
      <c r="GJG48" s="159"/>
      <c r="GJH48" s="159"/>
      <c r="GJI48" s="159"/>
      <c r="GJJ48" s="159"/>
      <c r="GJK48" s="159"/>
      <c r="GJL48" s="159"/>
      <c r="GJM48" s="159"/>
      <c r="GJN48" s="159"/>
      <c r="GJO48" s="159"/>
      <c r="GJP48" s="159"/>
      <c r="GJQ48" s="159"/>
      <c r="GJR48" s="159"/>
      <c r="GJS48" s="159"/>
      <c r="GJT48" s="159"/>
      <c r="GJU48" s="159"/>
      <c r="GJV48" s="159"/>
      <c r="GJW48" s="159"/>
      <c r="GJX48" s="159"/>
      <c r="GJY48" s="159"/>
      <c r="GJZ48" s="159"/>
      <c r="GKA48" s="159"/>
      <c r="GKB48" s="159"/>
      <c r="GKC48" s="159"/>
      <c r="GKD48" s="159"/>
      <c r="GKE48" s="159"/>
      <c r="GKF48" s="159"/>
      <c r="GKG48" s="159"/>
      <c r="GKH48" s="159"/>
      <c r="GKI48" s="159"/>
      <c r="GKJ48" s="159"/>
      <c r="GKK48" s="159"/>
      <c r="GKL48" s="159"/>
      <c r="GKM48" s="159"/>
      <c r="GKN48" s="159"/>
      <c r="GKO48" s="159"/>
      <c r="GKP48" s="159"/>
      <c r="GKQ48" s="159"/>
      <c r="GKR48" s="159"/>
      <c r="GKS48" s="159"/>
      <c r="GKT48" s="159"/>
      <c r="GKU48" s="159"/>
      <c r="GKV48" s="159"/>
      <c r="GKW48" s="159"/>
      <c r="GKX48" s="159"/>
      <c r="GKY48" s="159"/>
      <c r="GKZ48" s="159"/>
      <c r="GLA48" s="159"/>
      <c r="GLB48" s="159"/>
      <c r="GLC48" s="159"/>
      <c r="GLD48" s="159"/>
      <c r="GLE48" s="159"/>
      <c r="GLF48" s="159"/>
      <c r="GLG48" s="159"/>
      <c r="GLH48" s="159"/>
      <c r="GLI48" s="159"/>
      <c r="GLJ48" s="159"/>
      <c r="GLK48" s="159"/>
      <c r="GLL48" s="159"/>
      <c r="GLM48" s="159"/>
      <c r="GLN48" s="159"/>
      <c r="GLO48" s="159"/>
      <c r="GLP48" s="159"/>
      <c r="GLQ48" s="159"/>
      <c r="GLR48" s="159"/>
      <c r="GLS48" s="159"/>
      <c r="GLT48" s="159"/>
      <c r="GLU48" s="159"/>
      <c r="GLV48" s="159"/>
      <c r="GLW48" s="159"/>
      <c r="GLX48" s="159"/>
      <c r="GLY48" s="159"/>
      <c r="GLZ48" s="159"/>
      <c r="GMA48" s="159"/>
      <c r="GMB48" s="159"/>
      <c r="GMC48" s="159"/>
      <c r="GMD48" s="159"/>
      <c r="GME48" s="159"/>
      <c r="GMF48" s="159"/>
      <c r="GMG48" s="159"/>
      <c r="GMH48" s="159"/>
      <c r="GMI48" s="159"/>
      <c r="GMJ48" s="159"/>
      <c r="GMK48" s="159"/>
      <c r="GML48" s="159"/>
      <c r="GMM48" s="159"/>
      <c r="GMN48" s="159"/>
      <c r="GMO48" s="159"/>
      <c r="GMP48" s="159"/>
      <c r="GMQ48" s="159"/>
      <c r="GMR48" s="159"/>
      <c r="GMS48" s="159"/>
      <c r="GMT48" s="159"/>
      <c r="GMU48" s="159"/>
      <c r="GMV48" s="159"/>
      <c r="GMW48" s="159"/>
      <c r="GMX48" s="159"/>
      <c r="GMY48" s="159"/>
      <c r="GMZ48" s="159"/>
      <c r="GNA48" s="159"/>
      <c r="GNB48" s="159"/>
      <c r="GNC48" s="159"/>
      <c r="GND48" s="159"/>
      <c r="GNE48" s="159"/>
      <c r="GNF48" s="159"/>
      <c r="GNG48" s="159"/>
      <c r="GNH48" s="159"/>
      <c r="GNI48" s="159"/>
      <c r="GNJ48" s="159"/>
      <c r="GNK48" s="159"/>
      <c r="GNL48" s="159"/>
      <c r="GNM48" s="159"/>
      <c r="GNN48" s="159"/>
      <c r="GNO48" s="159"/>
      <c r="GNP48" s="159"/>
      <c r="GNQ48" s="159"/>
      <c r="GNR48" s="159"/>
      <c r="GNS48" s="159"/>
      <c r="GNT48" s="159"/>
      <c r="GNU48" s="159"/>
      <c r="GNV48" s="159"/>
      <c r="GNW48" s="159"/>
      <c r="GNX48" s="159"/>
      <c r="GNY48" s="159"/>
      <c r="GNZ48" s="159"/>
      <c r="GOA48" s="159"/>
      <c r="GOB48" s="159"/>
      <c r="GOC48" s="159"/>
      <c r="GOD48" s="159"/>
      <c r="GOE48" s="159"/>
      <c r="GOF48" s="159"/>
      <c r="GOG48" s="159"/>
      <c r="GOH48" s="159"/>
      <c r="GOI48" s="159"/>
      <c r="GOJ48" s="159"/>
      <c r="GOK48" s="159"/>
      <c r="GOL48" s="159"/>
      <c r="GOM48" s="159"/>
      <c r="GON48" s="159"/>
      <c r="GOO48" s="159"/>
      <c r="GOP48" s="159"/>
      <c r="GOQ48" s="159"/>
      <c r="GOR48" s="159"/>
      <c r="GOS48" s="159"/>
      <c r="GOT48" s="159"/>
      <c r="GOU48" s="159"/>
      <c r="GOV48" s="159"/>
      <c r="GOW48" s="159"/>
      <c r="GOX48" s="159"/>
      <c r="GOY48" s="159"/>
      <c r="GOZ48" s="159"/>
      <c r="GPA48" s="159"/>
      <c r="GPB48" s="159"/>
      <c r="GPC48" s="159"/>
      <c r="GPD48" s="159"/>
      <c r="GPE48" s="159"/>
      <c r="GPF48" s="159"/>
      <c r="GPG48" s="159"/>
      <c r="GPH48" s="159"/>
      <c r="GPI48" s="159"/>
      <c r="GPJ48" s="159"/>
      <c r="GPK48" s="159"/>
      <c r="GPL48" s="159"/>
      <c r="GPM48" s="159"/>
      <c r="GPN48" s="159"/>
      <c r="GPO48" s="159"/>
      <c r="GPP48" s="159"/>
      <c r="GPQ48" s="159"/>
      <c r="GPR48" s="159"/>
      <c r="GPS48" s="159"/>
      <c r="GPT48" s="159"/>
      <c r="GPU48" s="159"/>
      <c r="GPV48" s="159"/>
      <c r="GPW48" s="159"/>
      <c r="GPX48" s="159"/>
      <c r="GPY48" s="159"/>
      <c r="GPZ48" s="159"/>
      <c r="GQA48" s="159"/>
      <c r="GQB48" s="159"/>
      <c r="GQC48" s="159"/>
      <c r="GQD48" s="159"/>
      <c r="GQE48" s="159"/>
      <c r="GQF48" s="159"/>
      <c r="GQG48" s="159"/>
      <c r="GQH48" s="159"/>
      <c r="GQI48" s="159"/>
      <c r="GQJ48" s="159"/>
      <c r="GQK48" s="159"/>
      <c r="GQL48" s="159"/>
      <c r="GQM48" s="159"/>
      <c r="GQN48" s="159"/>
      <c r="GQO48" s="159"/>
      <c r="GQP48" s="159"/>
      <c r="GQQ48" s="159"/>
      <c r="GQR48" s="159"/>
      <c r="GQS48" s="159"/>
      <c r="GQT48" s="159"/>
      <c r="GQU48" s="159"/>
      <c r="GQV48" s="159"/>
      <c r="GQW48" s="159"/>
      <c r="GQX48" s="159"/>
      <c r="GQY48" s="159"/>
      <c r="GQZ48" s="159"/>
      <c r="GRA48" s="159"/>
      <c r="GRB48" s="159"/>
      <c r="GRC48" s="159"/>
      <c r="GRD48" s="159"/>
      <c r="GRE48" s="159"/>
      <c r="GRF48" s="159"/>
      <c r="GRG48" s="159"/>
      <c r="GRH48" s="159"/>
      <c r="GRI48" s="159"/>
      <c r="GRJ48" s="159"/>
      <c r="GRK48" s="159"/>
      <c r="GRL48" s="159"/>
      <c r="GRM48" s="159"/>
      <c r="GRN48" s="159"/>
      <c r="GRO48" s="159"/>
      <c r="GRP48" s="159"/>
      <c r="GRQ48" s="159"/>
      <c r="GRR48" s="159"/>
      <c r="GRS48" s="159"/>
      <c r="GRT48" s="159"/>
      <c r="GRU48" s="159"/>
      <c r="GRV48" s="159"/>
      <c r="GRW48" s="159"/>
      <c r="GRX48" s="159"/>
      <c r="GRY48" s="159"/>
      <c r="GRZ48" s="159"/>
      <c r="GSA48" s="159"/>
      <c r="GSB48" s="159"/>
      <c r="GSC48" s="159"/>
      <c r="GSD48" s="159"/>
      <c r="GSE48" s="159"/>
      <c r="GSF48" s="159"/>
      <c r="GSG48" s="159"/>
      <c r="GSH48" s="159"/>
      <c r="GSI48" s="159"/>
      <c r="GSJ48" s="159"/>
      <c r="GSK48" s="159"/>
      <c r="GSL48" s="159"/>
      <c r="GSM48" s="159"/>
      <c r="GSN48" s="159"/>
      <c r="GSO48" s="159"/>
      <c r="GSP48" s="159"/>
      <c r="GSQ48" s="159"/>
      <c r="GSR48" s="159"/>
      <c r="GSS48" s="159"/>
      <c r="GST48" s="159"/>
      <c r="GSU48" s="159"/>
      <c r="GSV48" s="159"/>
      <c r="GSW48" s="159"/>
      <c r="GSX48" s="159"/>
      <c r="GSY48" s="159"/>
      <c r="GSZ48" s="159"/>
      <c r="GTA48" s="159"/>
      <c r="GTB48" s="159"/>
      <c r="GTC48" s="159"/>
      <c r="GTD48" s="159"/>
      <c r="GTE48" s="159"/>
      <c r="GTF48" s="159"/>
      <c r="GTG48" s="159"/>
      <c r="GTH48" s="159"/>
      <c r="GTI48" s="159"/>
      <c r="GTJ48" s="159"/>
      <c r="GTK48" s="159"/>
      <c r="GTL48" s="159"/>
      <c r="GTM48" s="159"/>
      <c r="GTN48" s="159"/>
      <c r="GTO48" s="159"/>
      <c r="GTP48" s="159"/>
      <c r="GTQ48" s="159"/>
      <c r="GTR48" s="159"/>
      <c r="GTS48" s="159"/>
      <c r="GTT48" s="159"/>
      <c r="GTU48" s="159"/>
      <c r="GTV48" s="159"/>
      <c r="GTW48" s="159"/>
      <c r="GTX48" s="159"/>
      <c r="GTY48" s="159"/>
      <c r="GTZ48" s="159"/>
      <c r="GUA48" s="159"/>
      <c r="GUB48" s="159"/>
      <c r="GUC48" s="159"/>
      <c r="GUD48" s="159"/>
      <c r="GUE48" s="159"/>
      <c r="GUF48" s="159"/>
      <c r="GUG48" s="159"/>
      <c r="GUH48" s="159"/>
      <c r="GUI48" s="159"/>
      <c r="GUJ48" s="159"/>
      <c r="GUK48" s="159"/>
      <c r="GUL48" s="159"/>
      <c r="GUM48" s="159"/>
      <c r="GUN48" s="159"/>
      <c r="GUO48" s="159"/>
      <c r="GUP48" s="159"/>
      <c r="GUQ48" s="159"/>
      <c r="GUR48" s="159"/>
      <c r="GUS48" s="159"/>
      <c r="GUT48" s="159"/>
      <c r="GUU48" s="159"/>
      <c r="GUV48" s="159"/>
      <c r="GUW48" s="159"/>
      <c r="GUX48" s="159"/>
      <c r="GUY48" s="159"/>
      <c r="GUZ48" s="159"/>
      <c r="GVA48" s="159"/>
      <c r="GVB48" s="159"/>
      <c r="GVC48" s="159"/>
      <c r="GVD48" s="159"/>
      <c r="GVE48" s="159"/>
      <c r="GVF48" s="159"/>
      <c r="GVG48" s="159"/>
      <c r="GVH48" s="159"/>
      <c r="GVI48" s="159"/>
      <c r="GVJ48" s="159"/>
      <c r="GVK48" s="159"/>
      <c r="GVL48" s="159"/>
      <c r="GVM48" s="159"/>
      <c r="GVN48" s="159"/>
      <c r="GVO48" s="159"/>
      <c r="GVP48" s="159"/>
      <c r="GVQ48" s="159"/>
      <c r="GVR48" s="159"/>
      <c r="GVS48" s="159"/>
      <c r="GVT48" s="159"/>
      <c r="GVU48" s="159"/>
      <c r="GVV48" s="159"/>
      <c r="GVW48" s="159"/>
      <c r="GVX48" s="159"/>
      <c r="GVY48" s="159"/>
      <c r="GVZ48" s="159"/>
      <c r="GWA48" s="159"/>
      <c r="GWB48" s="159"/>
      <c r="GWC48" s="159"/>
      <c r="GWD48" s="159"/>
      <c r="GWE48" s="159"/>
      <c r="GWF48" s="159"/>
      <c r="GWG48" s="159"/>
      <c r="GWH48" s="159"/>
      <c r="GWI48" s="159"/>
      <c r="GWJ48" s="159"/>
      <c r="GWK48" s="159"/>
      <c r="GWL48" s="159"/>
      <c r="GWM48" s="159"/>
      <c r="GWN48" s="159"/>
      <c r="GWO48" s="159"/>
      <c r="GWP48" s="159"/>
      <c r="GWQ48" s="159"/>
      <c r="GWR48" s="159"/>
      <c r="GWS48" s="159"/>
      <c r="GWT48" s="159"/>
      <c r="GWU48" s="159"/>
      <c r="GWV48" s="159"/>
      <c r="GWW48" s="159"/>
      <c r="GWX48" s="159"/>
      <c r="GWY48" s="159"/>
      <c r="GWZ48" s="159"/>
      <c r="GXA48" s="159"/>
      <c r="GXB48" s="159"/>
      <c r="GXC48" s="159"/>
      <c r="GXD48" s="159"/>
      <c r="GXE48" s="159"/>
      <c r="GXF48" s="159"/>
      <c r="GXG48" s="159"/>
      <c r="GXH48" s="159"/>
      <c r="GXI48" s="159"/>
      <c r="GXJ48" s="159"/>
      <c r="GXK48" s="159"/>
      <c r="GXL48" s="159"/>
      <c r="GXM48" s="159"/>
      <c r="GXN48" s="159"/>
      <c r="GXO48" s="159"/>
      <c r="GXP48" s="159"/>
      <c r="GXQ48" s="159"/>
      <c r="GXR48" s="159"/>
      <c r="GXS48" s="159"/>
      <c r="GXT48" s="159"/>
      <c r="GXU48" s="159"/>
      <c r="GXV48" s="159"/>
      <c r="GXW48" s="159"/>
      <c r="GXX48" s="159"/>
      <c r="GXY48" s="159"/>
      <c r="GXZ48" s="159"/>
      <c r="GYA48" s="159"/>
      <c r="GYB48" s="159"/>
      <c r="GYC48" s="159"/>
      <c r="GYD48" s="159"/>
      <c r="GYE48" s="159"/>
      <c r="GYF48" s="159"/>
      <c r="GYG48" s="159"/>
      <c r="GYH48" s="159"/>
      <c r="GYI48" s="159"/>
      <c r="GYJ48" s="159"/>
      <c r="GYK48" s="159"/>
      <c r="GYL48" s="159"/>
      <c r="GYM48" s="159"/>
      <c r="GYN48" s="159"/>
      <c r="GYO48" s="159"/>
      <c r="GYP48" s="159"/>
      <c r="GYQ48" s="159"/>
      <c r="GYR48" s="159"/>
      <c r="GYS48" s="159"/>
      <c r="GYT48" s="159"/>
      <c r="GYU48" s="159"/>
      <c r="GYV48" s="159"/>
      <c r="GYW48" s="159"/>
      <c r="GYX48" s="159"/>
      <c r="GYY48" s="159"/>
      <c r="GYZ48" s="159"/>
      <c r="GZA48" s="159"/>
      <c r="GZB48" s="159"/>
      <c r="GZC48" s="159"/>
      <c r="GZD48" s="159"/>
      <c r="GZE48" s="159"/>
      <c r="GZF48" s="159"/>
      <c r="GZG48" s="159"/>
      <c r="GZH48" s="159"/>
      <c r="GZI48" s="159"/>
      <c r="GZJ48" s="159"/>
      <c r="GZK48" s="159"/>
      <c r="GZL48" s="159"/>
      <c r="GZM48" s="159"/>
      <c r="GZN48" s="159"/>
      <c r="GZO48" s="159"/>
      <c r="GZP48" s="159"/>
      <c r="GZQ48" s="159"/>
      <c r="GZR48" s="159"/>
      <c r="GZS48" s="159"/>
      <c r="GZT48" s="159"/>
      <c r="GZU48" s="159"/>
      <c r="GZV48" s="159"/>
      <c r="GZW48" s="159"/>
      <c r="GZX48" s="159"/>
      <c r="GZY48" s="159"/>
      <c r="GZZ48" s="159"/>
      <c r="HAA48" s="159"/>
      <c r="HAB48" s="159"/>
      <c r="HAC48" s="159"/>
      <c r="HAD48" s="159"/>
      <c r="HAE48" s="159"/>
      <c r="HAF48" s="159"/>
      <c r="HAG48" s="159"/>
      <c r="HAH48" s="159"/>
      <c r="HAI48" s="159"/>
      <c r="HAJ48" s="159"/>
      <c r="HAK48" s="159"/>
      <c r="HAL48" s="159"/>
      <c r="HAM48" s="159"/>
      <c r="HAN48" s="159"/>
      <c r="HAO48" s="159"/>
      <c r="HAP48" s="159"/>
      <c r="HAQ48" s="159"/>
      <c r="HAR48" s="159"/>
      <c r="HAS48" s="159"/>
      <c r="HAT48" s="159"/>
      <c r="HAU48" s="159"/>
      <c r="HAV48" s="159"/>
      <c r="HAW48" s="159"/>
      <c r="HAX48" s="159"/>
      <c r="HAY48" s="159"/>
      <c r="HAZ48" s="159"/>
      <c r="HBA48" s="159"/>
      <c r="HBB48" s="159"/>
      <c r="HBC48" s="159"/>
      <c r="HBD48" s="159"/>
      <c r="HBE48" s="159"/>
      <c r="HBF48" s="159"/>
      <c r="HBG48" s="159"/>
      <c r="HBH48" s="159"/>
      <c r="HBI48" s="159"/>
      <c r="HBJ48" s="159"/>
      <c r="HBK48" s="159"/>
      <c r="HBL48" s="159"/>
      <c r="HBM48" s="159"/>
      <c r="HBN48" s="159"/>
      <c r="HBO48" s="159"/>
      <c r="HBP48" s="159"/>
      <c r="HBQ48" s="159"/>
      <c r="HBR48" s="159"/>
      <c r="HBS48" s="159"/>
      <c r="HBT48" s="159"/>
      <c r="HBU48" s="159"/>
      <c r="HBV48" s="159"/>
      <c r="HBW48" s="159"/>
      <c r="HBX48" s="159"/>
      <c r="HBY48" s="159"/>
      <c r="HBZ48" s="159"/>
      <c r="HCA48" s="159"/>
      <c r="HCB48" s="159"/>
      <c r="HCC48" s="159"/>
      <c r="HCD48" s="159"/>
      <c r="HCE48" s="159"/>
      <c r="HCF48" s="159"/>
      <c r="HCG48" s="159"/>
      <c r="HCH48" s="159"/>
      <c r="HCI48" s="159"/>
      <c r="HCJ48" s="159"/>
      <c r="HCK48" s="159"/>
      <c r="HCL48" s="159"/>
      <c r="HCM48" s="159"/>
      <c r="HCN48" s="159"/>
      <c r="HCO48" s="159"/>
      <c r="HCP48" s="159"/>
      <c r="HCQ48" s="159"/>
      <c r="HCR48" s="159"/>
      <c r="HCS48" s="159"/>
      <c r="HCT48" s="159"/>
      <c r="HCU48" s="159"/>
      <c r="HCV48" s="159"/>
      <c r="HCW48" s="159"/>
      <c r="HCX48" s="159"/>
      <c r="HCY48" s="159"/>
      <c r="HCZ48" s="159"/>
      <c r="HDA48" s="159"/>
      <c r="HDB48" s="159"/>
      <c r="HDC48" s="159"/>
      <c r="HDD48" s="159"/>
      <c r="HDE48" s="159"/>
      <c r="HDF48" s="159"/>
      <c r="HDG48" s="159"/>
      <c r="HDH48" s="159"/>
      <c r="HDI48" s="159"/>
      <c r="HDJ48" s="159"/>
      <c r="HDK48" s="159"/>
      <c r="HDL48" s="159"/>
      <c r="HDM48" s="159"/>
      <c r="HDN48" s="159"/>
      <c r="HDO48" s="159"/>
      <c r="HDP48" s="159"/>
      <c r="HDQ48" s="159"/>
      <c r="HDR48" s="159"/>
      <c r="HDS48" s="159"/>
      <c r="HDT48" s="159"/>
      <c r="HDU48" s="159"/>
      <c r="HDV48" s="159"/>
      <c r="HDW48" s="159"/>
      <c r="HDX48" s="159"/>
      <c r="HDY48" s="159"/>
      <c r="HDZ48" s="159"/>
      <c r="HEA48" s="159"/>
      <c r="HEB48" s="159"/>
      <c r="HEC48" s="159"/>
      <c r="HED48" s="159"/>
      <c r="HEE48" s="159"/>
      <c r="HEF48" s="159"/>
      <c r="HEG48" s="159"/>
      <c r="HEH48" s="159"/>
      <c r="HEI48" s="159"/>
      <c r="HEJ48" s="159"/>
      <c r="HEK48" s="159"/>
      <c r="HEL48" s="159"/>
      <c r="HEM48" s="159"/>
      <c r="HEN48" s="159"/>
      <c r="HEO48" s="159"/>
      <c r="HEP48" s="159"/>
      <c r="HEQ48" s="159"/>
      <c r="HER48" s="159"/>
      <c r="HES48" s="159"/>
      <c r="HET48" s="159"/>
      <c r="HEU48" s="159"/>
      <c r="HEV48" s="159"/>
      <c r="HEW48" s="159"/>
      <c r="HEX48" s="159"/>
      <c r="HEY48" s="159"/>
      <c r="HEZ48" s="159"/>
      <c r="HFA48" s="159"/>
      <c r="HFB48" s="159"/>
      <c r="HFC48" s="159"/>
      <c r="HFD48" s="159"/>
      <c r="HFE48" s="159"/>
      <c r="HFF48" s="159"/>
      <c r="HFG48" s="159"/>
      <c r="HFH48" s="159"/>
      <c r="HFI48" s="159"/>
      <c r="HFJ48" s="159"/>
      <c r="HFK48" s="159"/>
      <c r="HFL48" s="159"/>
      <c r="HFM48" s="159"/>
      <c r="HFN48" s="159"/>
      <c r="HFO48" s="159"/>
      <c r="HFP48" s="159"/>
      <c r="HFQ48" s="159"/>
      <c r="HFR48" s="159"/>
      <c r="HFS48" s="159"/>
      <c r="HFT48" s="159"/>
      <c r="HFU48" s="159"/>
      <c r="HFV48" s="159"/>
      <c r="HFW48" s="159"/>
      <c r="HFX48" s="159"/>
      <c r="HFY48" s="159"/>
      <c r="HFZ48" s="159"/>
      <c r="HGA48" s="159"/>
      <c r="HGB48" s="159"/>
      <c r="HGC48" s="159"/>
      <c r="HGD48" s="159"/>
      <c r="HGE48" s="159"/>
      <c r="HGF48" s="159"/>
      <c r="HGG48" s="159"/>
      <c r="HGH48" s="159"/>
      <c r="HGI48" s="159"/>
      <c r="HGJ48" s="159"/>
      <c r="HGK48" s="159"/>
      <c r="HGL48" s="159"/>
      <c r="HGM48" s="159"/>
      <c r="HGN48" s="159"/>
      <c r="HGO48" s="159"/>
      <c r="HGP48" s="159"/>
      <c r="HGQ48" s="159"/>
      <c r="HGR48" s="159"/>
      <c r="HGS48" s="159"/>
      <c r="HGT48" s="159"/>
      <c r="HGU48" s="159"/>
      <c r="HGV48" s="159"/>
      <c r="HGW48" s="159"/>
      <c r="HGX48" s="159"/>
      <c r="HGY48" s="159"/>
      <c r="HGZ48" s="159"/>
      <c r="HHA48" s="159"/>
      <c r="HHB48" s="159"/>
      <c r="HHC48" s="159"/>
      <c r="HHD48" s="159"/>
      <c r="HHE48" s="159"/>
      <c r="HHF48" s="159"/>
      <c r="HHG48" s="159"/>
      <c r="HHH48" s="159"/>
      <c r="HHI48" s="159"/>
      <c r="HHJ48" s="159"/>
      <c r="HHK48" s="159"/>
      <c r="HHL48" s="159"/>
      <c r="HHM48" s="159"/>
      <c r="HHN48" s="159"/>
      <c r="HHO48" s="159"/>
      <c r="HHP48" s="159"/>
      <c r="HHQ48" s="159"/>
      <c r="HHR48" s="159"/>
      <c r="HHS48" s="159"/>
      <c r="HHT48" s="159"/>
      <c r="HHU48" s="159"/>
      <c r="HHV48" s="159"/>
      <c r="HHW48" s="159"/>
      <c r="HHX48" s="159"/>
      <c r="HHY48" s="159"/>
      <c r="HHZ48" s="159"/>
      <c r="HIA48" s="159"/>
      <c r="HIB48" s="159"/>
      <c r="HIC48" s="159"/>
      <c r="HID48" s="159"/>
      <c r="HIE48" s="159"/>
      <c r="HIF48" s="159"/>
      <c r="HIG48" s="159"/>
      <c r="HIH48" s="159"/>
      <c r="HII48" s="159"/>
      <c r="HIJ48" s="159"/>
      <c r="HIK48" s="159"/>
      <c r="HIL48" s="159"/>
      <c r="HIM48" s="159"/>
      <c r="HIN48" s="159"/>
      <c r="HIO48" s="159"/>
      <c r="HIP48" s="159"/>
      <c r="HIQ48" s="159"/>
      <c r="HIR48" s="159"/>
      <c r="HIS48" s="159"/>
      <c r="HIT48" s="159"/>
      <c r="HIU48" s="159"/>
      <c r="HIV48" s="159"/>
      <c r="HIW48" s="159"/>
      <c r="HIX48" s="159"/>
      <c r="HIY48" s="159"/>
      <c r="HIZ48" s="159"/>
      <c r="HJA48" s="159"/>
      <c r="HJB48" s="159"/>
      <c r="HJC48" s="159"/>
      <c r="HJD48" s="159"/>
      <c r="HJE48" s="159"/>
      <c r="HJF48" s="159"/>
      <c r="HJG48" s="159"/>
      <c r="HJH48" s="159"/>
      <c r="HJI48" s="159"/>
      <c r="HJJ48" s="159"/>
      <c r="HJK48" s="159"/>
      <c r="HJL48" s="159"/>
      <c r="HJM48" s="159"/>
      <c r="HJN48" s="159"/>
      <c r="HJO48" s="159"/>
      <c r="HJP48" s="159"/>
      <c r="HJQ48" s="159"/>
      <c r="HJR48" s="159"/>
      <c r="HJS48" s="159"/>
      <c r="HJT48" s="159"/>
      <c r="HJU48" s="159"/>
      <c r="HJV48" s="159"/>
      <c r="HJW48" s="159"/>
      <c r="HJX48" s="159"/>
      <c r="HJY48" s="159"/>
      <c r="HJZ48" s="159"/>
      <c r="HKA48" s="159"/>
      <c r="HKB48" s="159"/>
      <c r="HKC48" s="159"/>
      <c r="HKD48" s="159"/>
      <c r="HKE48" s="159"/>
      <c r="HKF48" s="159"/>
      <c r="HKG48" s="159"/>
      <c r="HKH48" s="159"/>
      <c r="HKI48" s="159"/>
      <c r="HKJ48" s="159"/>
      <c r="HKK48" s="159"/>
      <c r="HKL48" s="159"/>
      <c r="HKM48" s="159"/>
      <c r="HKN48" s="159"/>
      <c r="HKO48" s="159"/>
      <c r="HKP48" s="159"/>
      <c r="HKQ48" s="159"/>
      <c r="HKR48" s="159"/>
      <c r="HKS48" s="159"/>
      <c r="HKT48" s="159"/>
      <c r="HKU48" s="159"/>
      <c r="HKV48" s="159"/>
      <c r="HKW48" s="159"/>
      <c r="HKX48" s="159"/>
      <c r="HKY48" s="159"/>
      <c r="HKZ48" s="159"/>
      <c r="HLA48" s="159"/>
      <c r="HLB48" s="159"/>
      <c r="HLC48" s="159"/>
      <c r="HLD48" s="159"/>
      <c r="HLE48" s="159"/>
      <c r="HLF48" s="159"/>
      <c r="HLG48" s="159"/>
      <c r="HLH48" s="159"/>
      <c r="HLI48" s="159"/>
      <c r="HLJ48" s="159"/>
      <c r="HLK48" s="159"/>
      <c r="HLL48" s="159"/>
      <c r="HLM48" s="159"/>
      <c r="HLN48" s="159"/>
      <c r="HLO48" s="159"/>
      <c r="HLP48" s="159"/>
      <c r="HLQ48" s="159"/>
      <c r="HLR48" s="159"/>
      <c r="HLS48" s="159"/>
      <c r="HLT48" s="159"/>
      <c r="HLU48" s="159"/>
      <c r="HLV48" s="159"/>
      <c r="HLW48" s="159"/>
      <c r="HLX48" s="159"/>
      <c r="HLY48" s="159"/>
      <c r="HLZ48" s="159"/>
      <c r="HMA48" s="159"/>
      <c r="HMB48" s="159"/>
      <c r="HMC48" s="159"/>
      <c r="HMD48" s="159"/>
      <c r="HME48" s="159"/>
      <c r="HMF48" s="159"/>
      <c r="HMG48" s="159"/>
      <c r="HMH48" s="159"/>
      <c r="HMI48" s="159"/>
      <c r="HMJ48" s="159"/>
      <c r="HMK48" s="159"/>
      <c r="HML48" s="159"/>
      <c r="HMM48" s="159"/>
      <c r="HMN48" s="159"/>
      <c r="HMO48" s="159"/>
      <c r="HMP48" s="159"/>
      <c r="HMQ48" s="159"/>
      <c r="HMR48" s="159"/>
      <c r="HMS48" s="159"/>
      <c r="HMT48" s="159"/>
      <c r="HMU48" s="159"/>
      <c r="HMV48" s="159"/>
      <c r="HMW48" s="159"/>
      <c r="HMX48" s="159"/>
      <c r="HMY48" s="159"/>
      <c r="HMZ48" s="159"/>
      <c r="HNA48" s="159"/>
      <c r="HNB48" s="159"/>
      <c r="HNC48" s="159"/>
      <c r="HND48" s="159"/>
      <c r="HNE48" s="159"/>
      <c r="HNF48" s="159"/>
      <c r="HNG48" s="159"/>
      <c r="HNH48" s="159"/>
      <c r="HNI48" s="159"/>
      <c r="HNJ48" s="159"/>
      <c r="HNK48" s="159"/>
      <c r="HNL48" s="159"/>
      <c r="HNM48" s="159"/>
      <c r="HNN48" s="159"/>
      <c r="HNO48" s="159"/>
      <c r="HNP48" s="159"/>
      <c r="HNQ48" s="159"/>
      <c r="HNR48" s="159"/>
      <c r="HNS48" s="159"/>
      <c r="HNT48" s="159"/>
      <c r="HNU48" s="159"/>
      <c r="HNV48" s="159"/>
      <c r="HNW48" s="159"/>
      <c r="HNX48" s="159"/>
      <c r="HNY48" s="159"/>
      <c r="HNZ48" s="159"/>
      <c r="HOA48" s="159"/>
      <c r="HOB48" s="159"/>
      <c r="HOC48" s="159"/>
      <c r="HOD48" s="159"/>
      <c r="HOE48" s="159"/>
      <c r="HOF48" s="159"/>
      <c r="HOG48" s="159"/>
      <c r="HOH48" s="159"/>
      <c r="HOI48" s="159"/>
      <c r="HOJ48" s="159"/>
      <c r="HOK48" s="159"/>
      <c r="HOL48" s="159"/>
      <c r="HOM48" s="159"/>
      <c r="HON48" s="159"/>
      <c r="HOO48" s="159"/>
      <c r="HOP48" s="159"/>
      <c r="HOQ48" s="159"/>
      <c r="HOR48" s="159"/>
      <c r="HOS48" s="159"/>
      <c r="HOT48" s="159"/>
      <c r="HOU48" s="159"/>
      <c r="HOV48" s="159"/>
      <c r="HOW48" s="159"/>
      <c r="HOX48" s="159"/>
      <c r="HOY48" s="159"/>
      <c r="HOZ48" s="159"/>
      <c r="HPA48" s="159"/>
      <c r="HPB48" s="159"/>
      <c r="HPC48" s="159"/>
      <c r="HPD48" s="159"/>
      <c r="HPE48" s="159"/>
      <c r="HPF48" s="159"/>
      <c r="HPG48" s="159"/>
      <c r="HPH48" s="159"/>
      <c r="HPI48" s="159"/>
      <c r="HPJ48" s="159"/>
      <c r="HPK48" s="159"/>
      <c r="HPL48" s="159"/>
      <c r="HPM48" s="159"/>
      <c r="HPN48" s="159"/>
      <c r="HPO48" s="159"/>
      <c r="HPP48" s="159"/>
      <c r="HPQ48" s="159"/>
      <c r="HPR48" s="159"/>
      <c r="HPS48" s="159"/>
      <c r="HPT48" s="159"/>
      <c r="HPU48" s="159"/>
      <c r="HPV48" s="159"/>
      <c r="HPW48" s="159"/>
      <c r="HPX48" s="159"/>
      <c r="HPY48" s="159"/>
      <c r="HPZ48" s="159"/>
      <c r="HQA48" s="159"/>
      <c r="HQB48" s="159"/>
      <c r="HQC48" s="159"/>
      <c r="HQD48" s="159"/>
      <c r="HQE48" s="159"/>
      <c r="HQF48" s="159"/>
      <c r="HQG48" s="159"/>
      <c r="HQH48" s="159"/>
      <c r="HQI48" s="159"/>
      <c r="HQJ48" s="159"/>
      <c r="HQK48" s="159"/>
      <c r="HQL48" s="159"/>
      <c r="HQM48" s="159"/>
      <c r="HQN48" s="159"/>
      <c r="HQO48" s="159"/>
      <c r="HQP48" s="159"/>
      <c r="HQQ48" s="159"/>
      <c r="HQR48" s="159"/>
      <c r="HQS48" s="159"/>
      <c r="HQT48" s="159"/>
      <c r="HQU48" s="159"/>
      <c r="HQV48" s="159"/>
      <c r="HQW48" s="159"/>
      <c r="HQX48" s="159"/>
      <c r="HQY48" s="159"/>
      <c r="HQZ48" s="159"/>
      <c r="HRA48" s="159"/>
      <c r="HRB48" s="159"/>
      <c r="HRC48" s="159"/>
      <c r="HRD48" s="159"/>
      <c r="HRE48" s="159"/>
      <c r="HRF48" s="159"/>
      <c r="HRG48" s="159"/>
      <c r="HRH48" s="159"/>
      <c r="HRI48" s="159"/>
      <c r="HRJ48" s="159"/>
      <c r="HRK48" s="159"/>
      <c r="HRL48" s="159"/>
      <c r="HRM48" s="159"/>
      <c r="HRN48" s="159"/>
      <c r="HRO48" s="159"/>
      <c r="HRP48" s="159"/>
      <c r="HRQ48" s="159"/>
      <c r="HRR48" s="159"/>
      <c r="HRS48" s="159"/>
      <c r="HRT48" s="159"/>
      <c r="HRU48" s="159"/>
      <c r="HRV48" s="159"/>
      <c r="HRW48" s="159"/>
      <c r="HRX48" s="159"/>
      <c r="HRY48" s="159"/>
      <c r="HRZ48" s="159"/>
      <c r="HSA48" s="159"/>
      <c r="HSB48" s="159"/>
      <c r="HSC48" s="159"/>
      <c r="HSD48" s="159"/>
      <c r="HSE48" s="159"/>
      <c r="HSF48" s="159"/>
      <c r="HSG48" s="159"/>
      <c r="HSH48" s="159"/>
      <c r="HSI48" s="159"/>
      <c r="HSJ48" s="159"/>
      <c r="HSK48" s="159"/>
      <c r="HSL48" s="159"/>
      <c r="HSM48" s="159"/>
      <c r="HSN48" s="159"/>
      <c r="HSO48" s="159"/>
      <c r="HSP48" s="159"/>
      <c r="HSQ48" s="159"/>
      <c r="HSR48" s="159"/>
      <c r="HSS48" s="159"/>
      <c r="HST48" s="159"/>
      <c r="HSU48" s="159"/>
      <c r="HSV48" s="159"/>
      <c r="HSW48" s="159"/>
      <c r="HSX48" s="159"/>
      <c r="HSY48" s="159"/>
      <c r="HSZ48" s="159"/>
      <c r="HTA48" s="159"/>
      <c r="HTB48" s="159"/>
      <c r="HTC48" s="159"/>
      <c r="HTD48" s="159"/>
      <c r="HTE48" s="159"/>
      <c r="HTF48" s="159"/>
      <c r="HTG48" s="159"/>
      <c r="HTH48" s="159"/>
      <c r="HTI48" s="159"/>
      <c r="HTJ48" s="159"/>
      <c r="HTK48" s="159"/>
      <c r="HTL48" s="159"/>
      <c r="HTM48" s="159"/>
      <c r="HTN48" s="159"/>
      <c r="HTO48" s="159"/>
      <c r="HTP48" s="159"/>
      <c r="HTQ48" s="159"/>
      <c r="HTR48" s="159"/>
      <c r="HTS48" s="159"/>
      <c r="HTT48" s="159"/>
      <c r="HTU48" s="159"/>
      <c r="HTV48" s="159"/>
      <c r="HTW48" s="159"/>
      <c r="HTX48" s="159"/>
      <c r="HTY48" s="159"/>
      <c r="HTZ48" s="159"/>
      <c r="HUA48" s="159"/>
      <c r="HUB48" s="159"/>
      <c r="HUC48" s="159"/>
      <c r="HUD48" s="159"/>
      <c r="HUE48" s="159"/>
      <c r="HUF48" s="159"/>
      <c r="HUG48" s="159"/>
      <c r="HUH48" s="159"/>
      <c r="HUI48" s="159"/>
      <c r="HUJ48" s="159"/>
      <c r="HUK48" s="159"/>
      <c r="HUL48" s="159"/>
      <c r="HUM48" s="159"/>
      <c r="HUN48" s="159"/>
      <c r="HUO48" s="159"/>
      <c r="HUP48" s="159"/>
      <c r="HUQ48" s="159"/>
      <c r="HUR48" s="159"/>
      <c r="HUS48" s="159"/>
      <c r="HUT48" s="159"/>
      <c r="HUU48" s="159"/>
      <c r="HUV48" s="159"/>
      <c r="HUW48" s="159"/>
      <c r="HUX48" s="159"/>
      <c r="HUY48" s="159"/>
      <c r="HUZ48" s="159"/>
      <c r="HVA48" s="159"/>
      <c r="HVB48" s="159"/>
      <c r="HVC48" s="159"/>
      <c r="HVD48" s="159"/>
      <c r="HVE48" s="159"/>
      <c r="HVF48" s="159"/>
      <c r="HVG48" s="159"/>
      <c r="HVH48" s="159"/>
      <c r="HVI48" s="159"/>
      <c r="HVJ48" s="159"/>
      <c r="HVK48" s="159"/>
      <c r="HVL48" s="159"/>
      <c r="HVM48" s="159"/>
      <c r="HVN48" s="159"/>
      <c r="HVO48" s="159"/>
      <c r="HVP48" s="159"/>
      <c r="HVQ48" s="159"/>
      <c r="HVR48" s="159"/>
      <c r="HVS48" s="159"/>
      <c r="HVT48" s="159"/>
      <c r="HVU48" s="159"/>
      <c r="HVV48" s="159"/>
      <c r="HVW48" s="159"/>
      <c r="HVX48" s="159"/>
      <c r="HVY48" s="159"/>
      <c r="HVZ48" s="159"/>
      <c r="HWA48" s="159"/>
      <c r="HWB48" s="159"/>
      <c r="HWC48" s="159"/>
      <c r="HWD48" s="159"/>
      <c r="HWE48" s="159"/>
      <c r="HWF48" s="159"/>
      <c r="HWG48" s="159"/>
      <c r="HWH48" s="159"/>
      <c r="HWI48" s="159"/>
      <c r="HWJ48" s="159"/>
      <c r="HWK48" s="159"/>
      <c r="HWL48" s="159"/>
      <c r="HWM48" s="159"/>
      <c r="HWN48" s="159"/>
      <c r="HWO48" s="159"/>
      <c r="HWP48" s="159"/>
      <c r="HWQ48" s="159"/>
      <c r="HWR48" s="159"/>
      <c r="HWS48" s="159"/>
      <c r="HWT48" s="159"/>
      <c r="HWU48" s="159"/>
      <c r="HWV48" s="159"/>
      <c r="HWW48" s="159"/>
      <c r="HWX48" s="159"/>
      <c r="HWY48" s="159"/>
      <c r="HWZ48" s="159"/>
      <c r="HXA48" s="159"/>
      <c r="HXB48" s="159"/>
      <c r="HXC48" s="159"/>
      <c r="HXD48" s="159"/>
      <c r="HXE48" s="159"/>
      <c r="HXF48" s="159"/>
      <c r="HXG48" s="159"/>
      <c r="HXH48" s="159"/>
      <c r="HXI48" s="159"/>
      <c r="HXJ48" s="159"/>
      <c r="HXK48" s="159"/>
      <c r="HXL48" s="159"/>
      <c r="HXM48" s="159"/>
      <c r="HXN48" s="159"/>
      <c r="HXO48" s="159"/>
      <c r="HXP48" s="159"/>
      <c r="HXQ48" s="159"/>
      <c r="HXR48" s="159"/>
      <c r="HXS48" s="159"/>
      <c r="HXT48" s="159"/>
      <c r="HXU48" s="159"/>
      <c r="HXV48" s="159"/>
      <c r="HXW48" s="159"/>
      <c r="HXX48" s="159"/>
      <c r="HXY48" s="159"/>
      <c r="HXZ48" s="159"/>
      <c r="HYA48" s="159"/>
      <c r="HYB48" s="159"/>
      <c r="HYC48" s="159"/>
      <c r="HYD48" s="159"/>
      <c r="HYE48" s="159"/>
      <c r="HYF48" s="159"/>
      <c r="HYG48" s="159"/>
      <c r="HYH48" s="159"/>
      <c r="HYI48" s="159"/>
      <c r="HYJ48" s="159"/>
      <c r="HYK48" s="159"/>
      <c r="HYL48" s="159"/>
      <c r="HYM48" s="159"/>
      <c r="HYN48" s="159"/>
      <c r="HYO48" s="159"/>
      <c r="HYP48" s="159"/>
      <c r="HYQ48" s="159"/>
      <c r="HYR48" s="159"/>
      <c r="HYS48" s="159"/>
      <c r="HYT48" s="159"/>
      <c r="HYU48" s="159"/>
      <c r="HYV48" s="159"/>
      <c r="HYW48" s="159"/>
      <c r="HYX48" s="159"/>
      <c r="HYY48" s="159"/>
      <c r="HYZ48" s="159"/>
      <c r="HZA48" s="159"/>
      <c r="HZB48" s="159"/>
      <c r="HZC48" s="159"/>
      <c r="HZD48" s="159"/>
      <c r="HZE48" s="159"/>
      <c r="HZF48" s="159"/>
      <c r="HZG48" s="159"/>
      <c r="HZH48" s="159"/>
      <c r="HZI48" s="159"/>
      <c r="HZJ48" s="159"/>
      <c r="HZK48" s="159"/>
      <c r="HZL48" s="159"/>
      <c r="HZM48" s="159"/>
      <c r="HZN48" s="159"/>
      <c r="HZO48" s="159"/>
      <c r="HZP48" s="159"/>
      <c r="HZQ48" s="159"/>
      <c r="HZR48" s="159"/>
      <c r="HZS48" s="159"/>
      <c r="HZT48" s="159"/>
      <c r="HZU48" s="159"/>
      <c r="HZV48" s="159"/>
      <c r="HZW48" s="159"/>
      <c r="HZX48" s="159"/>
      <c r="HZY48" s="159"/>
      <c r="HZZ48" s="159"/>
      <c r="IAA48" s="159"/>
      <c r="IAB48" s="159"/>
      <c r="IAC48" s="159"/>
      <c r="IAD48" s="159"/>
      <c r="IAE48" s="159"/>
      <c r="IAF48" s="159"/>
      <c r="IAG48" s="159"/>
      <c r="IAH48" s="159"/>
      <c r="IAI48" s="159"/>
      <c r="IAJ48" s="159"/>
      <c r="IAK48" s="159"/>
      <c r="IAL48" s="159"/>
      <c r="IAM48" s="159"/>
      <c r="IAN48" s="159"/>
      <c r="IAO48" s="159"/>
      <c r="IAP48" s="159"/>
      <c r="IAQ48" s="159"/>
      <c r="IAR48" s="159"/>
      <c r="IAS48" s="159"/>
      <c r="IAT48" s="159"/>
      <c r="IAU48" s="159"/>
      <c r="IAV48" s="159"/>
      <c r="IAW48" s="159"/>
      <c r="IAX48" s="159"/>
      <c r="IAY48" s="159"/>
      <c r="IAZ48" s="159"/>
      <c r="IBA48" s="159"/>
      <c r="IBB48" s="159"/>
      <c r="IBC48" s="159"/>
      <c r="IBD48" s="159"/>
      <c r="IBE48" s="159"/>
      <c r="IBF48" s="159"/>
      <c r="IBG48" s="159"/>
      <c r="IBH48" s="159"/>
      <c r="IBI48" s="159"/>
      <c r="IBJ48" s="159"/>
      <c r="IBK48" s="159"/>
      <c r="IBL48" s="159"/>
      <c r="IBM48" s="159"/>
      <c r="IBN48" s="159"/>
      <c r="IBO48" s="159"/>
      <c r="IBP48" s="159"/>
      <c r="IBQ48" s="159"/>
      <c r="IBR48" s="159"/>
      <c r="IBS48" s="159"/>
      <c r="IBT48" s="159"/>
      <c r="IBU48" s="159"/>
      <c r="IBV48" s="159"/>
      <c r="IBW48" s="159"/>
      <c r="IBX48" s="159"/>
      <c r="IBY48" s="159"/>
      <c r="IBZ48" s="159"/>
      <c r="ICA48" s="159"/>
      <c r="ICB48" s="159"/>
      <c r="ICC48" s="159"/>
      <c r="ICD48" s="159"/>
      <c r="ICE48" s="159"/>
      <c r="ICF48" s="159"/>
      <c r="ICG48" s="159"/>
      <c r="ICH48" s="159"/>
      <c r="ICI48" s="159"/>
      <c r="ICJ48" s="159"/>
      <c r="ICK48" s="159"/>
      <c r="ICL48" s="159"/>
      <c r="ICM48" s="159"/>
      <c r="ICN48" s="159"/>
      <c r="ICO48" s="159"/>
      <c r="ICP48" s="159"/>
      <c r="ICQ48" s="159"/>
      <c r="ICR48" s="159"/>
      <c r="ICS48" s="159"/>
      <c r="ICT48" s="159"/>
      <c r="ICU48" s="159"/>
      <c r="ICV48" s="159"/>
      <c r="ICW48" s="159"/>
      <c r="ICX48" s="159"/>
      <c r="ICY48" s="159"/>
      <c r="ICZ48" s="159"/>
      <c r="IDA48" s="159"/>
      <c r="IDB48" s="159"/>
      <c r="IDC48" s="159"/>
      <c r="IDD48" s="159"/>
      <c r="IDE48" s="159"/>
      <c r="IDF48" s="159"/>
      <c r="IDG48" s="159"/>
      <c r="IDH48" s="159"/>
      <c r="IDI48" s="159"/>
      <c r="IDJ48" s="159"/>
      <c r="IDK48" s="159"/>
      <c r="IDL48" s="159"/>
      <c r="IDM48" s="159"/>
      <c r="IDN48" s="159"/>
      <c r="IDO48" s="159"/>
      <c r="IDP48" s="159"/>
      <c r="IDQ48" s="159"/>
      <c r="IDR48" s="159"/>
      <c r="IDS48" s="159"/>
      <c r="IDT48" s="159"/>
      <c r="IDU48" s="159"/>
      <c r="IDV48" s="159"/>
      <c r="IDW48" s="159"/>
      <c r="IDX48" s="159"/>
      <c r="IDY48" s="159"/>
      <c r="IDZ48" s="159"/>
      <c r="IEA48" s="159"/>
      <c r="IEB48" s="159"/>
      <c r="IEC48" s="159"/>
      <c r="IED48" s="159"/>
      <c r="IEE48" s="159"/>
      <c r="IEF48" s="159"/>
      <c r="IEG48" s="159"/>
      <c r="IEH48" s="159"/>
      <c r="IEI48" s="159"/>
      <c r="IEJ48" s="159"/>
      <c r="IEK48" s="159"/>
      <c r="IEL48" s="159"/>
      <c r="IEM48" s="159"/>
      <c r="IEN48" s="159"/>
      <c r="IEO48" s="159"/>
      <c r="IEP48" s="159"/>
      <c r="IEQ48" s="159"/>
      <c r="IER48" s="159"/>
      <c r="IES48" s="159"/>
      <c r="IET48" s="159"/>
      <c r="IEU48" s="159"/>
      <c r="IEV48" s="159"/>
      <c r="IEW48" s="159"/>
      <c r="IEX48" s="159"/>
      <c r="IEY48" s="159"/>
      <c r="IEZ48" s="159"/>
      <c r="IFA48" s="159"/>
      <c r="IFB48" s="159"/>
      <c r="IFC48" s="159"/>
      <c r="IFD48" s="159"/>
      <c r="IFE48" s="159"/>
      <c r="IFF48" s="159"/>
      <c r="IFG48" s="159"/>
      <c r="IFH48" s="159"/>
      <c r="IFI48" s="159"/>
      <c r="IFJ48" s="159"/>
      <c r="IFK48" s="159"/>
      <c r="IFL48" s="159"/>
      <c r="IFM48" s="159"/>
      <c r="IFN48" s="159"/>
      <c r="IFO48" s="159"/>
      <c r="IFP48" s="159"/>
      <c r="IFQ48" s="159"/>
      <c r="IFR48" s="159"/>
      <c r="IFS48" s="159"/>
      <c r="IFT48" s="159"/>
      <c r="IFU48" s="159"/>
      <c r="IFV48" s="159"/>
      <c r="IFW48" s="159"/>
      <c r="IFX48" s="159"/>
      <c r="IFY48" s="159"/>
      <c r="IFZ48" s="159"/>
      <c r="IGA48" s="159"/>
      <c r="IGB48" s="159"/>
      <c r="IGC48" s="159"/>
      <c r="IGD48" s="159"/>
      <c r="IGE48" s="159"/>
      <c r="IGF48" s="159"/>
      <c r="IGG48" s="159"/>
      <c r="IGH48" s="159"/>
      <c r="IGI48" s="159"/>
      <c r="IGJ48" s="159"/>
      <c r="IGK48" s="159"/>
      <c r="IGL48" s="159"/>
      <c r="IGM48" s="159"/>
      <c r="IGN48" s="159"/>
      <c r="IGO48" s="159"/>
      <c r="IGP48" s="159"/>
      <c r="IGQ48" s="159"/>
      <c r="IGR48" s="159"/>
      <c r="IGS48" s="159"/>
      <c r="IGT48" s="159"/>
      <c r="IGU48" s="159"/>
      <c r="IGV48" s="159"/>
      <c r="IGW48" s="159"/>
      <c r="IGX48" s="159"/>
      <c r="IGY48" s="159"/>
      <c r="IGZ48" s="159"/>
      <c r="IHA48" s="159"/>
      <c r="IHB48" s="159"/>
      <c r="IHC48" s="159"/>
      <c r="IHD48" s="159"/>
      <c r="IHE48" s="159"/>
      <c r="IHF48" s="159"/>
      <c r="IHG48" s="159"/>
      <c r="IHH48" s="159"/>
      <c r="IHI48" s="159"/>
      <c r="IHJ48" s="159"/>
      <c r="IHK48" s="159"/>
      <c r="IHL48" s="159"/>
      <c r="IHM48" s="159"/>
      <c r="IHN48" s="159"/>
      <c r="IHO48" s="159"/>
      <c r="IHP48" s="159"/>
      <c r="IHQ48" s="159"/>
      <c r="IHR48" s="159"/>
      <c r="IHS48" s="159"/>
      <c r="IHT48" s="159"/>
      <c r="IHU48" s="159"/>
      <c r="IHV48" s="159"/>
      <c r="IHW48" s="159"/>
      <c r="IHX48" s="159"/>
      <c r="IHY48" s="159"/>
      <c r="IHZ48" s="159"/>
      <c r="IIA48" s="159"/>
      <c r="IIB48" s="159"/>
      <c r="IIC48" s="159"/>
      <c r="IID48" s="159"/>
      <c r="IIE48" s="159"/>
      <c r="IIF48" s="159"/>
      <c r="IIG48" s="159"/>
      <c r="IIH48" s="159"/>
      <c r="III48" s="159"/>
      <c r="IIJ48" s="159"/>
      <c r="IIK48" s="159"/>
      <c r="IIL48" s="159"/>
      <c r="IIM48" s="159"/>
      <c r="IIN48" s="159"/>
      <c r="IIO48" s="159"/>
      <c r="IIP48" s="159"/>
      <c r="IIQ48" s="159"/>
      <c r="IIR48" s="159"/>
      <c r="IIS48" s="159"/>
      <c r="IIT48" s="159"/>
      <c r="IIU48" s="159"/>
      <c r="IIV48" s="159"/>
      <c r="IIW48" s="159"/>
      <c r="IIX48" s="159"/>
      <c r="IIY48" s="159"/>
      <c r="IIZ48" s="159"/>
      <c r="IJA48" s="159"/>
      <c r="IJB48" s="159"/>
      <c r="IJC48" s="159"/>
      <c r="IJD48" s="159"/>
      <c r="IJE48" s="159"/>
      <c r="IJF48" s="159"/>
      <c r="IJG48" s="159"/>
      <c r="IJH48" s="159"/>
      <c r="IJI48" s="159"/>
      <c r="IJJ48" s="159"/>
      <c r="IJK48" s="159"/>
      <c r="IJL48" s="159"/>
      <c r="IJM48" s="159"/>
      <c r="IJN48" s="159"/>
      <c r="IJO48" s="159"/>
      <c r="IJP48" s="159"/>
      <c r="IJQ48" s="159"/>
      <c r="IJR48" s="159"/>
      <c r="IJS48" s="159"/>
      <c r="IJT48" s="159"/>
      <c r="IJU48" s="159"/>
      <c r="IJV48" s="159"/>
      <c r="IJW48" s="159"/>
      <c r="IJX48" s="159"/>
      <c r="IJY48" s="159"/>
      <c r="IJZ48" s="159"/>
      <c r="IKA48" s="159"/>
      <c r="IKB48" s="159"/>
      <c r="IKC48" s="159"/>
      <c r="IKD48" s="159"/>
      <c r="IKE48" s="159"/>
      <c r="IKF48" s="159"/>
      <c r="IKG48" s="159"/>
      <c r="IKH48" s="159"/>
      <c r="IKI48" s="159"/>
      <c r="IKJ48" s="159"/>
      <c r="IKK48" s="159"/>
      <c r="IKL48" s="159"/>
      <c r="IKM48" s="159"/>
      <c r="IKN48" s="159"/>
      <c r="IKO48" s="159"/>
      <c r="IKP48" s="159"/>
      <c r="IKQ48" s="159"/>
      <c r="IKR48" s="159"/>
      <c r="IKS48" s="159"/>
      <c r="IKT48" s="159"/>
      <c r="IKU48" s="159"/>
      <c r="IKV48" s="159"/>
      <c r="IKW48" s="159"/>
      <c r="IKX48" s="159"/>
      <c r="IKY48" s="159"/>
      <c r="IKZ48" s="159"/>
      <c r="ILA48" s="159"/>
      <c r="ILB48" s="159"/>
      <c r="ILC48" s="159"/>
      <c r="ILD48" s="159"/>
      <c r="ILE48" s="159"/>
      <c r="ILF48" s="159"/>
      <c r="ILG48" s="159"/>
      <c r="ILH48" s="159"/>
      <c r="ILI48" s="159"/>
      <c r="ILJ48" s="159"/>
      <c r="ILK48" s="159"/>
      <c r="ILL48" s="159"/>
      <c r="ILM48" s="159"/>
      <c r="ILN48" s="159"/>
      <c r="ILO48" s="159"/>
      <c r="ILP48" s="159"/>
      <c r="ILQ48" s="159"/>
      <c r="ILR48" s="159"/>
      <c r="ILS48" s="159"/>
      <c r="ILT48" s="159"/>
      <c r="ILU48" s="159"/>
      <c r="ILV48" s="159"/>
      <c r="ILW48" s="159"/>
      <c r="ILX48" s="159"/>
      <c r="ILY48" s="159"/>
      <c r="ILZ48" s="159"/>
      <c r="IMA48" s="159"/>
      <c r="IMB48" s="159"/>
      <c r="IMC48" s="159"/>
      <c r="IMD48" s="159"/>
      <c r="IME48" s="159"/>
      <c r="IMF48" s="159"/>
      <c r="IMG48" s="159"/>
      <c r="IMH48" s="159"/>
      <c r="IMI48" s="159"/>
      <c r="IMJ48" s="159"/>
      <c r="IMK48" s="159"/>
      <c r="IML48" s="159"/>
      <c r="IMM48" s="159"/>
      <c r="IMN48" s="159"/>
      <c r="IMO48" s="159"/>
      <c r="IMP48" s="159"/>
      <c r="IMQ48" s="159"/>
      <c r="IMR48" s="159"/>
      <c r="IMS48" s="159"/>
      <c r="IMT48" s="159"/>
      <c r="IMU48" s="159"/>
      <c r="IMV48" s="159"/>
      <c r="IMW48" s="159"/>
      <c r="IMX48" s="159"/>
      <c r="IMY48" s="159"/>
      <c r="IMZ48" s="159"/>
      <c r="INA48" s="159"/>
      <c r="INB48" s="159"/>
      <c r="INC48" s="159"/>
      <c r="IND48" s="159"/>
      <c r="INE48" s="159"/>
      <c r="INF48" s="159"/>
      <c r="ING48" s="159"/>
      <c r="INH48" s="159"/>
      <c r="INI48" s="159"/>
      <c r="INJ48" s="159"/>
      <c r="INK48" s="159"/>
      <c r="INL48" s="159"/>
      <c r="INM48" s="159"/>
      <c r="INN48" s="159"/>
      <c r="INO48" s="159"/>
      <c r="INP48" s="159"/>
      <c r="INQ48" s="159"/>
      <c r="INR48" s="159"/>
      <c r="INS48" s="159"/>
      <c r="INT48" s="159"/>
      <c r="INU48" s="159"/>
      <c r="INV48" s="159"/>
      <c r="INW48" s="159"/>
      <c r="INX48" s="159"/>
      <c r="INY48" s="159"/>
      <c r="INZ48" s="159"/>
      <c r="IOA48" s="159"/>
      <c r="IOB48" s="159"/>
      <c r="IOC48" s="159"/>
      <c r="IOD48" s="159"/>
      <c r="IOE48" s="159"/>
      <c r="IOF48" s="159"/>
      <c r="IOG48" s="159"/>
      <c r="IOH48" s="159"/>
      <c r="IOI48" s="159"/>
      <c r="IOJ48" s="159"/>
      <c r="IOK48" s="159"/>
      <c r="IOL48" s="159"/>
      <c r="IOM48" s="159"/>
      <c r="ION48" s="159"/>
      <c r="IOO48" s="159"/>
      <c r="IOP48" s="159"/>
      <c r="IOQ48" s="159"/>
      <c r="IOR48" s="159"/>
      <c r="IOS48" s="159"/>
      <c r="IOT48" s="159"/>
      <c r="IOU48" s="159"/>
      <c r="IOV48" s="159"/>
      <c r="IOW48" s="159"/>
      <c r="IOX48" s="159"/>
      <c r="IOY48" s="159"/>
      <c r="IOZ48" s="159"/>
      <c r="IPA48" s="159"/>
      <c r="IPB48" s="159"/>
      <c r="IPC48" s="159"/>
      <c r="IPD48" s="159"/>
      <c r="IPE48" s="159"/>
      <c r="IPF48" s="159"/>
      <c r="IPG48" s="159"/>
      <c r="IPH48" s="159"/>
      <c r="IPI48" s="159"/>
      <c r="IPJ48" s="159"/>
      <c r="IPK48" s="159"/>
      <c r="IPL48" s="159"/>
      <c r="IPM48" s="159"/>
      <c r="IPN48" s="159"/>
      <c r="IPO48" s="159"/>
      <c r="IPP48" s="159"/>
      <c r="IPQ48" s="159"/>
      <c r="IPR48" s="159"/>
      <c r="IPS48" s="159"/>
      <c r="IPT48" s="159"/>
      <c r="IPU48" s="159"/>
      <c r="IPV48" s="159"/>
      <c r="IPW48" s="159"/>
      <c r="IPX48" s="159"/>
      <c r="IPY48" s="159"/>
      <c r="IPZ48" s="159"/>
      <c r="IQA48" s="159"/>
      <c r="IQB48" s="159"/>
      <c r="IQC48" s="159"/>
      <c r="IQD48" s="159"/>
      <c r="IQE48" s="159"/>
      <c r="IQF48" s="159"/>
      <c r="IQG48" s="159"/>
      <c r="IQH48" s="159"/>
      <c r="IQI48" s="159"/>
      <c r="IQJ48" s="159"/>
      <c r="IQK48" s="159"/>
      <c r="IQL48" s="159"/>
      <c r="IQM48" s="159"/>
      <c r="IQN48" s="159"/>
      <c r="IQO48" s="159"/>
      <c r="IQP48" s="159"/>
      <c r="IQQ48" s="159"/>
      <c r="IQR48" s="159"/>
      <c r="IQS48" s="159"/>
      <c r="IQT48" s="159"/>
      <c r="IQU48" s="159"/>
      <c r="IQV48" s="159"/>
      <c r="IQW48" s="159"/>
      <c r="IQX48" s="159"/>
      <c r="IQY48" s="159"/>
      <c r="IQZ48" s="159"/>
      <c r="IRA48" s="159"/>
      <c r="IRB48" s="159"/>
      <c r="IRC48" s="159"/>
      <c r="IRD48" s="159"/>
      <c r="IRE48" s="159"/>
      <c r="IRF48" s="159"/>
      <c r="IRG48" s="159"/>
      <c r="IRH48" s="159"/>
      <c r="IRI48" s="159"/>
      <c r="IRJ48" s="159"/>
      <c r="IRK48" s="159"/>
      <c r="IRL48" s="159"/>
      <c r="IRM48" s="159"/>
      <c r="IRN48" s="159"/>
      <c r="IRO48" s="159"/>
      <c r="IRP48" s="159"/>
      <c r="IRQ48" s="159"/>
      <c r="IRR48" s="159"/>
      <c r="IRS48" s="159"/>
      <c r="IRT48" s="159"/>
      <c r="IRU48" s="159"/>
      <c r="IRV48" s="159"/>
      <c r="IRW48" s="159"/>
      <c r="IRX48" s="159"/>
      <c r="IRY48" s="159"/>
      <c r="IRZ48" s="159"/>
      <c r="ISA48" s="159"/>
      <c r="ISB48" s="159"/>
      <c r="ISC48" s="159"/>
      <c r="ISD48" s="159"/>
      <c r="ISE48" s="159"/>
      <c r="ISF48" s="159"/>
      <c r="ISG48" s="159"/>
      <c r="ISH48" s="159"/>
      <c r="ISI48" s="159"/>
      <c r="ISJ48" s="159"/>
      <c r="ISK48" s="159"/>
      <c r="ISL48" s="159"/>
      <c r="ISM48" s="159"/>
      <c r="ISN48" s="159"/>
      <c r="ISO48" s="159"/>
      <c r="ISP48" s="159"/>
      <c r="ISQ48" s="159"/>
      <c r="ISR48" s="159"/>
      <c r="ISS48" s="159"/>
      <c r="IST48" s="159"/>
      <c r="ISU48" s="159"/>
      <c r="ISV48" s="159"/>
      <c r="ISW48" s="159"/>
      <c r="ISX48" s="159"/>
      <c r="ISY48" s="159"/>
      <c r="ISZ48" s="159"/>
      <c r="ITA48" s="159"/>
      <c r="ITB48" s="159"/>
      <c r="ITC48" s="159"/>
      <c r="ITD48" s="159"/>
      <c r="ITE48" s="159"/>
      <c r="ITF48" s="159"/>
      <c r="ITG48" s="159"/>
      <c r="ITH48" s="159"/>
      <c r="ITI48" s="159"/>
      <c r="ITJ48" s="159"/>
      <c r="ITK48" s="159"/>
      <c r="ITL48" s="159"/>
      <c r="ITM48" s="159"/>
      <c r="ITN48" s="159"/>
      <c r="ITO48" s="159"/>
      <c r="ITP48" s="159"/>
      <c r="ITQ48" s="159"/>
      <c r="ITR48" s="159"/>
      <c r="ITS48" s="159"/>
      <c r="ITT48" s="159"/>
      <c r="ITU48" s="159"/>
      <c r="ITV48" s="159"/>
      <c r="ITW48" s="159"/>
      <c r="ITX48" s="159"/>
      <c r="ITY48" s="159"/>
      <c r="ITZ48" s="159"/>
      <c r="IUA48" s="159"/>
      <c r="IUB48" s="159"/>
      <c r="IUC48" s="159"/>
      <c r="IUD48" s="159"/>
      <c r="IUE48" s="159"/>
      <c r="IUF48" s="159"/>
      <c r="IUG48" s="159"/>
      <c r="IUH48" s="159"/>
      <c r="IUI48" s="159"/>
      <c r="IUJ48" s="159"/>
      <c r="IUK48" s="159"/>
      <c r="IUL48" s="159"/>
      <c r="IUM48" s="159"/>
      <c r="IUN48" s="159"/>
      <c r="IUO48" s="159"/>
      <c r="IUP48" s="159"/>
      <c r="IUQ48" s="159"/>
      <c r="IUR48" s="159"/>
      <c r="IUS48" s="159"/>
      <c r="IUT48" s="159"/>
      <c r="IUU48" s="159"/>
      <c r="IUV48" s="159"/>
      <c r="IUW48" s="159"/>
      <c r="IUX48" s="159"/>
      <c r="IUY48" s="159"/>
      <c r="IUZ48" s="159"/>
      <c r="IVA48" s="159"/>
      <c r="IVB48" s="159"/>
      <c r="IVC48" s="159"/>
      <c r="IVD48" s="159"/>
      <c r="IVE48" s="159"/>
      <c r="IVF48" s="159"/>
      <c r="IVG48" s="159"/>
      <c r="IVH48" s="159"/>
      <c r="IVI48" s="159"/>
      <c r="IVJ48" s="159"/>
      <c r="IVK48" s="159"/>
      <c r="IVL48" s="159"/>
      <c r="IVM48" s="159"/>
      <c r="IVN48" s="159"/>
      <c r="IVO48" s="159"/>
      <c r="IVP48" s="159"/>
      <c r="IVQ48" s="159"/>
      <c r="IVR48" s="159"/>
      <c r="IVS48" s="159"/>
      <c r="IVT48" s="159"/>
      <c r="IVU48" s="159"/>
      <c r="IVV48" s="159"/>
      <c r="IVW48" s="159"/>
      <c r="IVX48" s="159"/>
      <c r="IVY48" s="159"/>
      <c r="IVZ48" s="159"/>
      <c r="IWA48" s="159"/>
      <c r="IWB48" s="159"/>
      <c r="IWC48" s="159"/>
      <c r="IWD48" s="159"/>
      <c r="IWE48" s="159"/>
      <c r="IWF48" s="159"/>
      <c r="IWG48" s="159"/>
      <c r="IWH48" s="159"/>
      <c r="IWI48" s="159"/>
      <c r="IWJ48" s="159"/>
      <c r="IWK48" s="159"/>
      <c r="IWL48" s="159"/>
      <c r="IWM48" s="159"/>
      <c r="IWN48" s="159"/>
      <c r="IWO48" s="159"/>
      <c r="IWP48" s="159"/>
      <c r="IWQ48" s="159"/>
      <c r="IWR48" s="159"/>
      <c r="IWS48" s="159"/>
      <c r="IWT48" s="159"/>
      <c r="IWU48" s="159"/>
      <c r="IWV48" s="159"/>
      <c r="IWW48" s="159"/>
      <c r="IWX48" s="159"/>
      <c r="IWY48" s="159"/>
      <c r="IWZ48" s="159"/>
      <c r="IXA48" s="159"/>
      <c r="IXB48" s="159"/>
      <c r="IXC48" s="159"/>
      <c r="IXD48" s="159"/>
      <c r="IXE48" s="159"/>
      <c r="IXF48" s="159"/>
      <c r="IXG48" s="159"/>
      <c r="IXH48" s="159"/>
      <c r="IXI48" s="159"/>
      <c r="IXJ48" s="159"/>
      <c r="IXK48" s="159"/>
      <c r="IXL48" s="159"/>
      <c r="IXM48" s="159"/>
      <c r="IXN48" s="159"/>
      <c r="IXO48" s="159"/>
      <c r="IXP48" s="159"/>
      <c r="IXQ48" s="159"/>
      <c r="IXR48" s="159"/>
      <c r="IXS48" s="159"/>
      <c r="IXT48" s="159"/>
      <c r="IXU48" s="159"/>
      <c r="IXV48" s="159"/>
      <c r="IXW48" s="159"/>
      <c r="IXX48" s="159"/>
      <c r="IXY48" s="159"/>
      <c r="IXZ48" s="159"/>
      <c r="IYA48" s="159"/>
      <c r="IYB48" s="159"/>
      <c r="IYC48" s="159"/>
      <c r="IYD48" s="159"/>
      <c r="IYE48" s="159"/>
      <c r="IYF48" s="159"/>
      <c r="IYG48" s="159"/>
      <c r="IYH48" s="159"/>
      <c r="IYI48" s="159"/>
      <c r="IYJ48" s="159"/>
      <c r="IYK48" s="159"/>
      <c r="IYL48" s="159"/>
      <c r="IYM48" s="159"/>
      <c r="IYN48" s="159"/>
      <c r="IYO48" s="159"/>
      <c r="IYP48" s="159"/>
      <c r="IYQ48" s="159"/>
      <c r="IYR48" s="159"/>
      <c r="IYS48" s="159"/>
      <c r="IYT48" s="159"/>
      <c r="IYU48" s="159"/>
      <c r="IYV48" s="159"/>
      <c r="IYW48" s="159"/>
      <c r="IYX48" s="159"/>
      <c r="IYY48" s="159"/>
      <c r="IYZ48" s="159"/>
      <c r="IZA48" s="159"/>
      <c r="IZB48" s="159"/>
      <c r="IZC48" s="159"/>
      <c r="IZD48" s="159"/>
      <c r="IZE48" s="159"/>
      <c r="IZF48" s="159"/>
      <c r="IZG48" s="159"/>
      <c r="IZH48" s="159"/>
      <c r="IZI48" s="159"/>
      <c r="IZJ48" s="159"/>
      <c r="IZK48" s="159"/>
      <c r="IZL48" s="159"/>
      <c r="IZM48" s="159"/>
      <c r="IZN48" s="159"/>
      <c r="IZO48" s="159"/>
      <c r="IZP48" s="159"/>
      <c r="IZQ48" s="159"/>
      <c r="IZR48" s="159"/>
      <c r="IZS48" s="159"/>
      <c r="IZT48" s="159"/>
      <c r="IZU48" s="159"/>
      <c r="IZV48" s="159"/>
      <c r="IZW48" s="159"/>
      <c r="IZX48" s="159"/>
      <c r="IZY48" s="159"/>
      <c r="IZZ48" s="159"/>
      <c r="JAA48" s="159"/>
      <c r="JAB48" s="159"/>
      <c r="JAC48" s="159"/>
      <c r="JAD48" s="159"/>
      <c r="JAE48" s="159"/>
      <c r="JAF48" s="159"/>
      <c r="JAG48" s="159"/>
      <c r="JAH48" s="159"/>
      <c r="JAI48" s="159"/>
      <c r="JAJ48" s="159"/>
      <c r="JAK48" s="159"/>
      <c r="JAL48" s="159"/>
      <c r="JAM48" s="159"/>
      <c r="JAN48" s="159"/>
      <c r="JAO48" s="159"/>
      <c r="JAP48" s="159"/>
      <c r="JAQ48" s="159"/>
      <c r="JAR48" s="159"/>
      <c r="JAS48" s="159"/>
      <c r="JAT48" s="159"/>
      <c r="JAU48" s="159"/>
      <c r="JAV48" s="159"/>
      <c r="JAW48" s="159"/>
      <c r="JAX48" s="159"/>
      <c r="JAY48" s="159"/>
      <c r="JAZ48" s="159"/>
      <c r="JBA48" s="159"/>
      <c r="JBB48" s="159"/>
      <c r="JBC48" s="159"/>
      <c r="JBD48" s="159"/>
      <c r="JBE48" s="159"/>
      <c r="JBF48" s="159"/>
      <c r="JBG48" s="159"/>
      <c r="JBH48" s="159"/>
      <c r="JBI48" s="159"/>
      <c r="JBJ48" s="159"/>
      <c r="JBK48" s="159"/>
      <c r="JBL48" s="159"/>
      <c r="JBM48" s="159"/>
      <c r="JBN48" s="159"/>
      <c r="JBO48" s="159"/>
      <c r="JBP48" s="159"/>
      <c r="JBQ48" s="159"/>
      <c r="JBR48" s="159"/>
      <c r="JBS48" s="159"/>
      <c r="JBT48" s="159"/>
      <c r="JBU48" s="159"/>
      <c r="JBV48" s="159"/>
      <c r="JBW48" s="159"/>
      <c r="JBX48" s="159"/>
      <c r="JBY48" s="159"/>
      <c r="JBZ48" s="159"/>
      <c r="JCA48" s="159"/>
      <c r="JCB48" s="159"/>
      <c r="JCC48" s="159"/>
      <c r="JCD48" s="159"/>
      <c r="JCE48" s="159"/>
      <c r="JCF48" s="159"/>
      <c r="JCG48" s="159"/>
      <c r="JCH48" s="159"/>
      <c r="JCI48" s="159"/>
      <c r="JCJ48" s="159"/>
      <c r="JCK48" s="159"/>
      <c r="JCL48" s="159"/>
      <c r="JCM48" s="159"/>
      <c r="JCN48" s="159"/>
      <c r="JCO48" s="159"/>
      <c r="JCP48" s="159"/>
      <c r="JCQ48" s="159"/>
      <c r="JCR48" s="159"/>
      <c r="JCS48" s="159"/>
      <c r="JCT48" s="159"/>
      <c r="JCU48" s="159"/>
      <c r="JCV48" s="159"/>
      <c r="JCW48" s="159"/>
      <c r="JCX48" s="159"/>
      <c r="JCY48" s="159"/>
      <c r="JCZ48" s="159"/>
      <c r="JDA48" s="159"/>
      <c r="JDB48" s="159"/>
      <c r="JDC48" s="159"/>
      <c r="JDD48" s="159"/>
      <c r="JDE48" s="159"/>
      <c r="JDF48" s="159"/>
      <c r="JDG48" s="159"/>
      <c r="JDH48" s="159"/>
      <c r="JDI48" s="159"/>
      <c r="JDJ48" s="159"/>
      <c r="JDK48" s="159"/>
      <c r="JDL48" s="159"/>
      <c r="JDM48" s="159"/>
      <c r="JDN48" s="159"/>
      <c r="JDO48" s="159"/>
      <c r="JDP48" s="159"/>
      <c r="JDQ48" s="159"/>
      <c r="JDR48" s="159"/>
      <c r="JDS48" s="159"/>
      <c r="JDT48" s="159"/>
      <c r="JDU48" s="159"/>
      <c r="JDV48" s="159"/>
      <c r="JDW48" s="159"/>
      <c r="JDX48" s="159"/>
      <c r="JDY48" s="159"/>
      <c r="JDZ48" s="159"/>
      <c r="JEA48" s="159"/>
      <c r="JEB48" s="159"/>
      <c r="JEC48" s="159"/>
      <c r="JED48" s="159"/>
      <c r="JEE48" s="159"/>
      <c r="JEF48" s="159"/>
      <c r="JEG48" s="159"/>
      <c r="JEH48" s="159"/>
      <c r="JEI48" s="159"/>
      <c r="JEJ48" s="159"/>
      <c r="JEK48" s="159"/>
      <c r="JEL48" s="159"/>
      <c r="JEM48" s="159"/>
      <c r="JEN48" s="159"/>
      <c r="JEO48" s="159"/>
      <c r="JEP48" s="159"/>
      <c r="JEQ48" s="159"/>
      <c r="JER48" s="159"/>
      <c r="JES48" s="159"/>
      <c r="JET48" s="159"/>
      <c r="JEU48" s="159"/>
      <c r="JEV48" s="159"/>
      <c r="JEW48" s="159"/>
      <c r="JEX48" s="159"/>
      <c r="JEY48" s="159"/>
      <c r="JEZ48" s="159"/>
      <c r="JFA48" s="159"/>
      <c r="JFB48" s="159"/>
      <c r="JFC48" s="159"/>
      <c r="JFD48" s="159"/>
      <c r="JFE48" s="159"/>
      <c r="JFF48" s="159"/>
      <c r="JFG48" s="159"/>
      <c r="JFH48" s="159"/>
      <c r="JFI48" s="159"/>
      <c r="JFJ48" s="159"/>
      <c r="JFK48" s="159"/>
      <c r="JFL48" s="159"/>
      <c r="JFM48" s="159"/>
      <c r="JFN48" s="159"/>
      <c r="JFO48" s="159"/>
      <c r="JFP48" s="159"/>
      <c r="JFQ48" s="159"/>
      <c r="JFR48" s="159"/>
      <c r="JFS48" s="159"/>
      <c r="JFT48" s="159"/>
      <c r="JFU48" s="159"/>
      <c r="JFV48" s="159"/>
      <c r="JFW48" s="159"/>
      <c r="JFX48" s="159"/>
      <c r="JFY48" s="159"/>
      <c r="JFZ48" s="159"/>
      <c r="JGA48" s="159"/>
      <c r="JGB48" s="159"/>
      <c r="JGC48" s="159"/>
      <c r="JGD48" s="159"/>
      <c r="JGE48" s="159"/>
      <c r="JGF48" s="159"/>
      <c r="JGG48" s="159"/>
      <c r="JGH48" s="159"/>
      <c r="JGI48" s="159"/>
      <c r="JGJ48" s="159"/>
      <c r="JGK48" s="159"/>
      <c r="JGL48" s="159"/>
      <c r="JGM48" s="159"/>
      <c r="JGN48" s="159"/>
      <c r="JGO48" s="159"/>
      <c r="JGP48" s="159"/>
      <c r="JGQ48" s="159"/>
      <c r="JGR48" s="159"/>
      <c r="JGS48" s="159"/>
      <c r="JGT48" s="159"/>
      <c r="JGU48" s="159"/>
      <c r="JGV48" s="159"/>
      <c r="JGW48" s="159"/>
      <c r="JGX48" s="159"/>
      <c r="JGY48" s="159"/>
      <c r="JGZ48" s="159"/>
      <c r="JHA48" s="159"/>
      <c r="JHB48" s="159"/>
      <c r="JHC48" s="159"/>
      <c r="JHD48" s="159"/>
      <c r="JHE48" s="159"/>
      <c r="JHF48" s="159"/>
      <c r="JHG48" s="159"/>
      <c r="JHH48" s="159"/>
      <c r="JHI48" s="159"/>
      <c r="JHJ48" s="159"/>
      <c r="JHK48" s="159"/>
      <c r="JHL48" s="159"/>
      <c r="JHM48" s="159"/>
      <c r="JHN48" s="159"/>
      <c r="JHO48" s="159"/>
      <c r="JHP48" s="159"/>
      <c r="JHQ48" s="159"/>
      <c r="JHR48" s="159"/>
      <c r="JHS48" s="159"/>
      <c r="JHT48" s="159"/>
      <c r="JHU48" s="159"/>
      <c r="JHV48" s="159"/>
      <c r="JHW48" s="159"/>
      <c r="JHX48" s="159"/>
      <c r="JHY48" s="159"/>
      <c r="JHZ48" s="159"/>
      <c r="JIA48" s="159"/>
      <c r="JIB48" s="159"/>
      <c r="JIC48" s="159"/>
      <c r="JID48" s="159"/>
      <c r="JIE48" s="159"/>
      <c r="JIF48" s="159"/>
      <c r="JIG48" s="159"/>
      <c r="JIH48" s="159"/>
      <c r="JII48" s="159"/>
      <c r="JIJ48" s="159"/>
      <c r="JIK48" s="159"/>
      <c r="JIL48" s="159"/>
      <c r="JIM48" s="159"/>
      <c r="JIN48" s="159"/>
      <c r="JIO48" s="159"/>
      <c r="JIP48" s="159"/>
      <c r="JIQ48" s="159"/>
      <c r="JIR48" s="159"/>
      <c r="JIS48" s="159"/>
      <c r="JIT48" s="159"/>
      <c r="JIU48" s="159"/>
      <c r="JIV48" s="159"/>
      <c r="JIW48" s="159"/>
      <c r="JIX48" s="159"/>
      <c r="JIY48" s="159"/>
      <c r="JIZ48" s="159"/>
      <c r="JJA48" s="159"/>
      <c r="JJB48" s="159"/>
      <c r="JJC48" s="159"/>
      <c r="JJD48" s="159"/>
      <c r="JJE48" s="159"/>
      <c r="JJF48" s="159"/>
      <c r="JJG48" s="159"/>
      <c r="JJH48" s="159"/>
      <c r="JJI48" s="159"/>
      <c r="JJJ48" s="159"/>
      <c r="JJK48" s="159"/>
      <c r="JJL48" s="159"/>
      <c r="JJM48" s="159"/>
      <c r="JJN48" s="159"/>
      <c r="JJO48" s="159"/>
      <c r="JJP48" s="159"/>
      <c r="JJQ48" s="159"/>
      <c r="JJR48" s="159"/>
      <c r="JJS48" s="159"/>
      <c r="JJT48" s="159"/>
      <c r="JJU48" s="159"/>
      <c r="JJV48" s="159"/>
      <c r="JJW48" s="159"/>
      <c r="JJX48" s="159"/>
      <c r="JJY48" s="159"/>
      <c r="JJZ48" s="159"/>
      <c r="JKA48" s="159"/>
      <c r="JKB48" s="159"/>
      <c r="JKC48" s="159"/>
      <c r="JKD48" s="159"/>
      <c r="JKE48" s="159"/>
      <c r="JKF48" s="159"/>
      <c r="JKG48" s="159"/>
      <c r="JKH48" s="159"/>
      <c r="JKI48" s="159"/>
      <c r="JKJ48" s="159"/>
      <c r="JKK48" s="159"/>
      <c r="JKL48" s="159"/>
      <c r="JKM48" s="159"/>
      <c r="JKN48" s="159"/>
      <c r="JKO48" s="159"/>
      <c r="JKP48" s="159"/>
      <c r="JKQ48" s="159"/>
      <c r="JKR48" s="159"/>
      <c r="JKS48" s="159"/>
      <c r="JKT48" s="159"/>
      <c r="JKU48" s="159"/>
      <c r="JKV48" s="159"/>
      <c r="JKW48" s="159"/>
      <c r="JKX48" s="159"/>
      <c r="JKY48" s="159"/>
      <c r="JKZ48" s="159"/>
      <c r="JLA48" s="159"/>
      <c r="JLB48" s="159"/>
      <c r="JLC48" s="159"/>
      <c r="JLD48" s="159"/>
      <c r="JLE48" s="159"/>
      <c r="JLF48" s="159"/>
      <c r="JLG48" s="159"/>
      <c r="JLH48" s="159"/>
      <c r="JLI48" s="159"/>
      <c r="JLJ48" s="159"/>
      <c r="JLK48" s="159"/>
      <c r="JLL48" s="159"/>
      <c r="JLM48" s="159"/>
      <c r="JLN48" s="159"/>
      <c r="JLO48" s="159"/>
      <c r="JLP48" s="159"/>
      <c r="JLQ48" s="159"/>
      <c r="JLR48" s="159"/>
      <c r="JLS48" s="159"/>
      <c r="JLT48" s="159"/>
      <c r="JLU48" s="159"/>
      <c r="JLV48" s="159"/>
      <c r="JLW48" s="159"/>
      <c r="JLX48" s="159"/>
      <c r="JLY48" s="159"/>
      <c r="JLZ48" s="159"/>
      <c r="JMA48" s="159"/>
      <c r="JMB48" s="159"/>
      <c r="JMC48" s="159"/>
      <c r="JMD48" s="159"/>
      <c r="JME48" s="159"/>
      <c r="JMF48" s="159"/>
      <c r="JMG48" s="159"/>
      <c r="JMH48" s="159"/>
      <c r="JMI48" s="159"/>
      <c r="JMJ48" s="159"/>
      <c r="JMK48" s="159"/>
      <c r="JML48" s="159"/>
      <c r="JMM48" s="159"/>
      <c r="JMN48" s="159"/>
      <c r="JMO48" s="159"/>
      <c r="JMP48" s="159"/>
      <c r="JMQ48" s="159"/>
      <c r="JMR48" s="159"/>
      <c r="JMS48" s="159"/>
      <c r="JMT48" s="159"/>
      <c r="JMU48" s="159"/>
      <c r="JMV48" s="159"/>
      <c r="JMW48" s="159"/>
      <c r="JMX48" s="159"/>
      <c r="JMY48" s="159"/>
      <c r="JMZ48" s="159"/>
      <c r="JNA48" s="159"/>
      <c r="JNB48" s="159"/>
      <c r="JNC48" s="159"/>
      <c r="JND48" s="159"/>
      <c r="JNE48" s="159"/>
      <c r="JNF48" s="159"/>
      <c r="JNG48" s="159"/>
      <c r="JNH48" s="159"/>
      <c r="JNI48" s="159"/>
      <c r="JNJ48" s="159"/>
      <c r="JNK48" s="159"/>
      <c r="JNL48" s="159"/>
      <c r="JNM48" s="159"/>
      <c r="JNN48" s="159"/>
      <c r="JNO48" s="159"/>
      <c r="JNP48" s="159"/>
      <c r="JNQ48" s="159"/>
      <c r="JNR48" s="159"/>
      <c r="JNS48" s="159"/>
      <c r="JNT48" s="159"/>
      <c r="JNU48" s="159"/>
      <c r="JNV48" s="159"/>
      <c r="JNW48" s="159"/>
      <c r="JNX48" s="159"/>
      <c r="JNY48" s="159"/>
      <c r="JNZ48" s="159"/>
      <c r="JOA48" s="159"/>
      <c r="JOB48" s="159"/>
      <c r="JOC48" s="159"/>
      <c r="JOD48" s="159"/>
      <c r="JOE48" s="159"/>
      <c r="JOF48" s="159"/>
      <c r="JOG48" s="159"/>
      <c r="JOH48" s="159"/>
      <c r="JOI48" s="159"/>
      <c r="JOJ48" s="159"/>
      <c r="JOK48" s="159"/>
      <c r="JOL48" s="159"/>
      <c r="JOM48" s="159"/>
      <c r="JON48" s="159"/>
      <c r="JOO48" s="159"/>
      <c r="JOP48" s="159"/>
      <c r="JOQ48" s="159"/>
      <c r="JOR48" s="159"/>
      <c r="JOS48" s="159"/>
      <c r="JOT48" s="159"/>
      <c r="JOU48" s="159"/>
      <c r="JOV48" s="159"/>
      <c r="JOW48" s="159"/>
      <c r="JOX48" s="159"/>
      <c r="JOY48" s="159"/>
      <c r="JOZ48" s="159"/>
      <c r="JPA48" s="159"/>
      <c r="JPB48" s="159"/>
      <c r="JPC48" s="159"/>
      <c r="JPD48" s="159"/>
      <c r="JPE48" s="159"/>
      <c r="JPF48" s="159"/>
      <c r="JPG48" s="159"/>
      <c r="JPH48" s="159"/>
      <c r="JPI48" s="159"/>
      <c r="JPJ48" s="159"/>
      <c r="JPK48" s="159"/>
      <c r="JPL48" s="159"/>
      <c r="JPM48" s="159"/>
      <c r="JPN48" s="159"/>
      <c r="JPO48" s="159"/>
      <c r="JPP48" s="159"/>
      <c r="JPQ48" s="159"/>
      <c r="JPR48" s="159"/>
      <c r="JPS48" s="159"/>
      <c r="JPT48" s="159"/>
      <c r="JPU48" s="159"/>
      <c r="JPV48" s="159"/>
      <c r="JPW48" s="159"/>
      <c r="JPX48" s="159"/>
      <c r="JPY48" s="159"/>
      <c r="JPZ48" s="159"/>
      <c r="JQA48" s="159"/>
      <c r="JQB48" s="159"/>
      <c r="JQC48" s="159"/>
      <c r="JQD48" s="159"/>
      <c r="JQE48" s="159"/>
      <c r="JQF48" s="159"/>
      <c r="JQG48" s="159"/>
      <c r="JQH48" s="159"/>
      <c r="JQI48" s="159"/>
      <c r="JQJ48" s="159"/>
      <c r="JQK48" s="159"/>
      <c r="JQL48" s="159"/>
      <c r="JQM48" s="159"/>
      <c r="JQN48" s="159"/>
      <c r="JQO48" s="159"/>
      <c r="JQP48" s="159"/>
      <c r="JQQ48" s="159"/>
      <c r="JQR48" s="159"/>
      <c r="JQS48" s="159"/>
      <c r="JQT48" s="159"/>
      <c r="JQU48" s="159"/>
      <c r="JQV48" s="159"/>
      <c r="JQW48" s="159"/>
      <c r="JQX48" s="159"/>
      <c r="JQY48" s="159"/>
      <c r="JQZ48" s="159"/>
      <c r="JRA48" s="159"/>
      <c r="JRB48" s="159"/>
      <c r="JRC48" s="159"/>
      <c r="JRD48" s="159"/>
      <c r="JRE48" s="159"/>
      <c r="JRF48" s="159"/>
      <c r="JRG48" s="159"/>
      <c r="JRH48" s="159"/>
      <c r="JRI48" s="159"/>
      <c r="JRJ48" s="159"/>
      <c r="JRK48" s="159"/>
      <c r="JRL48" s="159"/>
      <c r="JRM48" s="159"/>
      <c r="JRN48" s="159"/>
      <c r="JRO48" s="159"/>
      <c r="JRP48" s="159"/>
      <c r="JRQ48" s="159"/>
      <c r="JRR48" s="159"/>
      <c r="JRS48" s="159"/>
      <c r="JRT48" s="159"/>
      <c r="JRU48" s="159"/>
      <c r="JRV48" s="159"/>
      <c r="JRW48" s="159"/>
      <c r="JRX48" s="159"/>
      <c r="JRY48" s="159"/>
      <c r="JRZ48" s="159"/>
      <c r="JSA48" s="159"/>
      <c r="JSB48" s="159"/>
      <c r="JSC48" s="159"/>
      <c r="JSD48" s="159"/>
      <c r="JSE48" s="159"/>
      <c r="JSF48" s="159"/>
      <c r="JSG48" s="159"/>
      <c r="JSH48" s="159"/>
      <c r="JSI48" s="159"/>
      <c r="JSJ48" s="159"/>
      <c r="JSK48" s="159"/>
      <c r="JSL48" s="159"/>
      <c r="JSM48" s="159"/>
      <c r="JSN48" s="159"/>
      <c r="JSO48" s="159"/>
      <c r="JSP48" s="159"/>
      <c r="JSQ48" s="159"/>
      <c r="JSR48" s="159"/>
      <c r="JSS48" s="159"/>
      <c r="JST48" s="159"/>
      <c r="JSU48" s="159"/>
      <c r="JSV48" s="159"/>
      <c r="JSW48" s="159"/>
      <c r="JSX48" s="159"/>
      <c r="JSY48" s="159"/>
      <c r="JSZ48" s="159"/>
      <c r="JTA48" s="159"/>
      <c r="JTB48" s="159"/>
      <c r="JTC48" s="159"/>
      <c r="JTD48" s="159"/>
      <c r="JTE48" s="159"/>
      <c r="JTF48" s="159"/>
      <c r="JTG48" s="159"/>
      <c r="JTH48" s="159"/>
      <c r="JTI48" s="159"/>
      <c r="JTJ48" s="159"/>
      <c r="JTK48" s="159"/>
      <c r="JTL48" s="159"/>
      <c r="JTM48" s="159"/>
      <c r="JTN48" s="159"/>
      <c r="JTO48" s="159"/>
      <c r="JTP48" s="159"/>
      <c r="JTQ48" s="159"/>
      <c r="JTR48" s="159"/>
      <c r="JTS48" s="159"/>
      <c r="JTT48" s="159"/>
      <c r="JTU48" s="159"/>
      <c r="JTV48" s="159"/>
      <c r="JTW48" s="159"/>
      <c r="JTX48" s="159"/>
      <c r="JTY48" s="159"/>
      <c r="JTZ48" s="159"/>
      <c r="JUA48" s="159"/>
      <c r="JUB48" s="159"/>
      <c r="JUC48" s="159"/>
      <c r="JUD48" s="159"/>
      <c r="JUE48" s="159"/>
      <c r="JUF48" s="159"/>
      <c r="JUG48" s="159"/>
      <c r="JUH48" s="159"/>
      <c r="JUI48" s="159"/>
      <c r="JUJ48" s="159"/>
      <c r="JUK48" s="159"/>
      <c r="JUL48" s="159"/>
      <c r="JUM48" s="159"/>
      <c r="JUN48" s="159"/>
      <c r="JUO48" s="159"/>
      <c r="JUP48" s="159"/>
      <c r="JUQ48" s="159"/>
      <c r="JUR48" s="159"/>
      <c r="JUS48" s="159"/>
      <c r="JUT48" s="159"/>
      <c r="JUU48" s="159"/>
      <c r="JUV48" s="159"/>
      <c r="JUW48" s="159"/>
      <c r="JUX48" s="159"/>
      <c r="JUY48" s="159"/>
      <c r="JUZ48" s="159"/>
      <c r="JVA48" s="159"/>
      <c r="JVB48" s="159"/>
      <c r="JVC48" s="159"/>
      <c r="JVD48" s="159"/>
      <c r="JVE48" s="159"/>
      <c r="JVF48" s="159"/>
      <c r="JVG48" s="159"/>
      <c r="JVH48" s="159"/>
      <c r="JVI48" s="159"/>
      <c r="JVJ48" s="159"/>
      <c r="JVK48" s="159"/>
      <c r="JVL48" s="159"/>
      <c r="JVM48" s="159"/>
      <c r="JVN48" s="159"/>
      <c r="JVO48" s="159"/>
      <c r="JVP48" s="159"/>
      <c r="JVQ48" s="159"/>
      <c r="JVR48" s="159"/>
      <c r="JVS48" s="159"/>
      <c r="JVT48" s="159"/>
      <c r="JVU48" s="159"/>
      <c r="JVV48" s="159"/>
      <c r="JVW48" s="159"/>
      <c r="JVX48" s="159"/>
      <c r="JVY48" s="159"/>
      <c r="JVZ48" s="159"/>
      <c r="JWA48" s="159"/>
      <c r="JWB48" s="159"/>
      <c r="JWC48" s="159"/>
      <c r="JWD48" s="159"/>
      <c r="JWE48" s="159"/>
      <c r="JWF48" s="159"/>
      <c r="JWG48" s="159"/>
      <c r="JWH48" s="159"/>
      <c r="JWI48" s="159"/>
      <c r="JWJ48" s="159"/>
      <c r="JWK48" s="159"/>
      <c r="JWL48" s="159"/>
      <c r="JWM48" s="159"/>
      <c r="JWN48" s="159"/>
      <c r="JWO48" s="159"/>
      <c r="JWP48" s="159"/>
      <c r="JWQ48" s="159"/>
      <c r="JWR48" s="159"/>
      <c r="JWS48" s="159"/>
      <c r="JWT48" s="159"/>
      <c r="JWU48" s="159"/>
      <c r="JWV48" s="159"/>
      <c r="JWW48" s="159"/>
      <c r="JWX48" s="159"/>
      <c r="JWY48" s="159"/>
      <c r="JWZ48" s="159"/>
      <c r="JXA48" s="159"/>
      <c r="JXB48" s="159"/>
      <c r="JXC48" s="159"/>
      <c r="JXD48" s="159"/>
      <c r="JXE48" s="159"/>
      <c r="JXF48" s="159"/>
      <c r="JXG48" s="159"/>
      <c r="JXH48" s="159"/>
      <c r="JXI48" s="159"/>
      <c r="JXJ48" s="159"/>
      <c r="JXK48" s="159"/>
      <c r="JXL48" s="159"/>
      <c r="JXM48" s="159"/>
      <c r="JXN48" s="159"/>
      <c r="JXO48" s="159"/>
      <c r="JXP48" s="159"/>
      <c r="JXQ48" s="159"/>
      <c r="JXR48" s="159"/>
      <c r="JXS48" s="159"/>
      <c r="JXT48" s="159"/>
      <c r="JXU48" s="159"/>
      <c r="JXV48" s="159"/>
      <c r="JXW48" s="159"/>
      <c r="JXX48" s="159"/>
      <c r="JXY48" s="159"/>
      <c r="JXZ48" s="159"/>
      <c r="JYA48" s="159"/>
      <c r="JYB48" s="159"/>
      <c r="JYC48" s="159"/>
      <c r="JYD48" s="159"/>
      <c r="JYE48" s="159"/>
      <c r="JYF48" s="159"/>
      <c r="JYG48" s="159"/>
      <c r="JYH48" s="159"/>
      <c r="JYI48" s="159"/>
      <c r="JYJ48" s="159"/>
      <c r="JYK48" s="159"/>
      <c r="JYL48" s="159"/>
      <c r="JYM48" s="159"/>
      <c r="JYN48" s="159"/>
      <c r="JYO48" s="159"/>
      <c r="JYP48" s="159"/>
      <c r="JYQ48" s="159"/>
      <c r="JYR48" s="159"/>
      <c r="JYS48" s="159"/>
      <c r="JYT48" s="159"/>
      <c r="JYU48" s="159"/>
      <c r="JYV48" s="159"/>
      <c r="JYW48" s="159"/>
      <c r="JYX48" s="159"/>
      <c r="JYY48" s="159"/>
      <c r="JYZ48" s="159"/>
      <c r="JZA48" s="159"/>
      <c r="JZB48" s="159"/>
      <c r="JZC48" s="159"/>
      <c r="JZD48" s="159"/>
      <c r="JZE48" s="159"/>
      <c r="JZF48" s="159"/>
      <c r="JZG48" s="159"/>
      <c r="JZH48" s="159"/>
      <c r="JZI48" s="159"/>
      <c r="JZJ48" s="159"/>
      <c r="JZK48" s="159"/>
      <c r="JZL48" s="159"/>
      <c r="JZM48" s="159"/>
      <c r="JZN48" s="159"/>
      <c r="JZO48" s="159"/>
      <c r="JZP48" s="159"/>
      <c r="JZQ48" s="159"/>
      <c r="JZR48" s="159"/>
      <c r="JZS48" s="159"/>
      <c r="JZT48" s="159"/>
      <c r="JZU48" s="159"/>
      <c r="JZV48" s="159"/>
      <c r="JZW48" s="159"/>
      <c r="JZX48" s="159"/>
      <c r="JZY48" s="159"/>
      <c r="JZZ48" s="159"/>
      <c r="KAA48" s="159"/>
      <c r="KAB48" s="159"/>
      <c r="KAC48" s="159"/>
      <c r="KAD48" s="159"/>
      <c r="KAE48" s="159"/>
      <c r="KAF48" s="159"/>
      <c r="KAG48" s="159"/>
      <c r="KAH48" s="159"/>
      <c r="KAI48" s="159"/>
      <c r="KAJ48" s="159"/>
      <c r="KAK48" s="159"/>
      <c r="KAL48" s="159"/>
      <c r="KAM48" s="159"/>
      <c r="KAN48" s="159"/>
      <c r="KAO48" s="159"/>
      <c r="KAP48" s="159"/>
      <c r="KAQ48" s="159"/>
      <c r="KAR48" s="159"/>
      <c r="KAS48" s="159"/>
      <c r="KAT48" s="159"/>
      <c r="KAU48" s="159"/>
      <c r="KAV48" s="159"/>
      <c r="KAW48" s="159"/>
      <c r="KAX48" s="159"/>
      <c r="KAY48" s="159"/>
      <c r="KAZ48" s="159"/>
      <c r="KBA48" s="159"/>
      <c r="KBB48" s="159"/>
      <c r="KBC48" s="159"/>
      <c r="KBD48" s="159"/>
      <c r="KBE48" s="159"/>
      <c r="KBF48" s="159"/>
      <c r="KBG48" s="159"/>
      <c r="KBH48" s="159"/>
      <c r="KBI48" s="159"/>
      <c r="KBJ48" s="159"/>
      <c r="KBK48" s="159"/>
      <c r="KBL48" s="159"/>
      <c r="KBM48" s="159"/>
      <c r="KBN48" s="159"/>
      <c r="KBO48" s="159"/>
      <c r="KBP48" s="159"/>
      <c r="KBQ48" s="159"/>
      <c r="KBR48" s="159"/>
      <c r="KBS48" s="159"/>
      <c r="KBT48" s="159"/>
      <c r="KBU48" s="159"/>
      <c r="KBV48" s="159"/>
      <c r="KBW48" s="159"/>
      <c r="KBX48" s="159"/>
      <c r="KBY48" s="159"/>
      <c r="KBZ48" s="159"/>
      <c r="KCA48" s="159"/>
      <c r="KCB48" s="159"/>
      <c r="KCC48" s="159"/>
      <c r="KCD48" s="159"/>
      <c r="KCE48" s="159"/>
      <c r="KCF48" s="159"/>
      <c r="KCG48" s="159"/>
      <c r="KCH48" s="159"/>
      <c r="KCI48" s="159"/>
      <c r="KCJ48" s="159"/>
      <c r="KCK48" s="159"/>
      <c r="KCL48" s="159"/>
      <c r="KCM48" s="159"/>
      <c r="KCN48" s="159"/>
      <c r="KCO48" s="159"/>
      <c r="KCP48" s="159"/>
      <c r="KCQ48" s="159"/>
      <c r="KCR48" s="159"/>
      <c r="KCS48" s="159"/>
      <c r="KCT48" s="159"/>
      <c r="KCU48" s="159"/>
      <c r="KCV48" s="159"/>
      <c r="KCW48" s="159"/>
      <c r="KCX48" s="159"/>
      <c r="KCY48" s="159"/>
      <c r="KCZ48" s="159"/>
      <c r="KDA48" s="159"/>
      <c r="KDB48" s="159"/>
      <c r="KDC48" s="159"/>
      <c r="KDD48" s="159"/>
      <c r="KDE48" s="159"/>
      <c r="KDF48" s="159"/>
      <c r="KDG48" s="159"/>
      <c r="KDH48" s="159"/>
      <c r="KDI48" s="159"/>
      <c r="KDJ48" s="159"/>
      <c r="KDK48" s="159"/>
      <c r="KDL48" s="159"/>
      <c r="KDM48" s="159"/>
      <c r="KDN48" s="159"/>
      <c r="KDO48" s="159"/>
      <c r="KDP48" s="159"/>
      <c r="KDQ48" s="159"/>
      <c r="KDR48" s="159"/>
      <c r="KDS48" s="159"/>
      <c r="KDT48" s="159"/>
      <c r="KDU48" s="159"/>
      <c r="KDV48" s="159"/>
      <c r="KDW48" s="159"/>
      <c r="KDX48" s="159"/>
      <c r="KDY48" s="159"/>
      <c r="KDZ48" s="159"/>
      <c r="KEA48" s="159"/>
      <c r="KEB48" s="159"/>
      <c r="KEC48" s="159"/>
      <c r="KED48" s="159"/>
      <c r="KEE48" s="159"/>
      <c r="KEF48" s="159"/>
      <c r="KEG48" s="159"/>
      <c r="KEH48" s="159"/>
      <c r="KEI48" s="159"/>
      <c r="KEJ48" s="159"/>
      <c r="KEK48" s="159"/>
      <c r="KEL48" s="159"/>
      <c r="KEM48" s="159"/>
      <c r="KEN48" s="159"/>
      <c r="KEO48" s="159"/>
      <c r="KEP48" s="159"/>
      <c r="KEQ48" s="159"/>
      <c r="KER48" s="159"/>
      <c r="KES48" s="159"/>
      <c r="KET48" s="159"/>
      <c r="KEU48" s="159"/>
      <c r="KEV48" s="159"/>
      <c r="KEW48" s="159"/>
      <c r="KEX48" s="159"/>
      <c r="KEY48" s="159"/>
      <c r="KEZ48" s="159"/>
      <c r="KFA48" s="159"/>
      <c r="KFB48" s="159"/>
      <c r="KFC48" s="159"/>
      <c r="KFD48" s="159"/>
      <c r="KFE48" s="159"/>
      <c r="KFF48" s="159"/>
      <c r="KFG48" s="159"/>
      <c r="KFH48" s="159"/>
      <c r="KFI48" s="159"/>
      <c r="KFJ48" s="159"/>
      <c r="KFK48" s="159"/>
      <c r="KFL48" s="159"/>
      <c r="KFM48" s="159"/>
      <c r="KFN48" s="159"/>
      <c r="KFO48" s="159"/>
      <c r="KFP48" s="159"/>
      <c r="KFQ48" s="159"/>
      <c r="KFR48" s="159"/>
      <c r="KFS48" s="159"/>
      <c r="KFT48" s="159"/>
      <c r="KFU48" s="159"/>
      <c r="KFV48" s="159"/>
      <c r="KFW48" s="159"/>
      <c r="KFX48" s="159"/>
      <c r="KFY48" s="159"/>
      <c r="KFZ48" s="159"/>
      <c r="KGA48" s="159"/>
      <c r="KGB48" s="159"/>
      <c r="KGC48" s="159"/>
      <c r="KGD48" s="159"/>
      <c r="KGE48" s="159"/>
      <c r="KGF48" s="159"/>
      <c r="KGG48" s="159"/>
      <c r="KGH48" s="159"/>
      <c r="KGI48" s="159"/>
      <c r="KGJ48" s="159"/>
      <c r="KGK48" s="159"/>
      <c r="KGL48" s="159"/>
      <c r="KGM48" s="159"/>
      <c r="KGN48" s="159"/>
      <c r="KGO48" s="159"/>
      <c r="KGP48" s="159"/>
      <c r="KGQ48" s="159"/>
      <c r="KGR48" s="159"/>
      <c r="KGS48" s="159"/>
      <c r="KGT48" s="159"/>
      <c r="KGU48" s="159"/>
      <c r="KGV48" s="159"/>
      <c r="KGW48" s="159"/>
      <c r="KGX48" s="159"/>
      <c r="KGY48" s="159"/>
      <c r="KGZ48" s="159"/>
      <c r="KHA48" s="159"/>
      <c r="KHB48" s="159"/>
      <c r="KHC48" s="159"/>
      <c r="KHD48" s="159"/>
      <c r="KHE48" s="159"/>
      <c r="KHF48" s="159"/>
      <c r="KHG48" s="159"/>
      <c r="KHH48" s="159"/>
      <c r="KHI48" s="159"/>
      <c r="KHJ48" s="159"/>
      <c r="KHK48" s="159"/>
      <c r="KHL48" s="159"/>
      <c r="KHM48" s="159"/>
      <c r="KHN48" s="159"/>
      <c r="KHO48" s="159"/>
      <c r="KHP48" s="159"/>
      <c r="KHQ48" s="159"/>
      <c r="KHR48" s="159"/>
      <c r="KHS48" s="159"/>
      <c r="KHT48" s="159"/>
      <c r="KHU48" s="159"/>
      <c r="KHV48" s="159"/>
      <c r="KHW48" s="159"/>
      <c r="KHX48" s="159"/>
      <c r="KHY48" s="159"/>
      <c r="KHZ48" s="159"/>
      <c r="KIA48" s="159"/>
      <c r="KIB48" s="159"/>
      <c r="KIC48" s="159"/>
      <c r="KID48" s="159"/>
      <c r="KIE48" s="159"/>
      <c r="KIF48" s="159"/>
      <c r="KIG48" s="159"/>
      <c r="KIH48" s="159"/>
      <c r="KII48" s="159"/>
      <c r="KIJ48" s="159"/>
      <c r="KIK48" s="159"/>
      <c r="KIL48" s="159"/>
      <c r="KIM48" s="159"/>
      <c r="KIN48" s="159"/>
      <c r="KIO48" s="159"/>
      <c r="KIP48" s="159"/>
      <c r="KIQ48" s="159"/>
      <c r="KIR48" s="159"/>
      <c r="KIS48" s="159"/>
      <c r="KIT48" s="159"/>
      <c r="KIU48" s="159"/>
      <c r="KIV48" s="159"/>
      <c r="KIW48" s="159"/>
      <c r="KIX48" s="159"/>
      <c r="KIY48" s="159"/>
      <c r="KIZ48" s="159"/>
      <c r="KJA48" s="159"/>
      <c r="KJB48" s="159"/>
      <c r="KJC48" s="159"/>
      <c r="KJD48" s="159"/>
      <c r="KJE48" s="159"/>
      <c r="KJF48" s="159"/>
      <c r="KJG48" s="159"/>
      <c r="KJH48" s="159"/>
      <c r="KJI48" s="159"/>
      <c r="KJJ48" s="159"/>
      <c r="KJK48" s="159"/>
      <c r="KJL48" s="159"/>
      <c r="KJM48" s="159"/>
      <c r="KJN48" s="159"/>
      <c r="KJO48" s="159"/>
      <c r="KJP48" s="159"/>
      <c r="KJQ48" s="159"/>
      <c r="KJR48" s="159"/>
      <c r="KJS48" s="159"/>
      <c r="KJT48" s="159"/>
      <c r="KJU48" s="159"/>
      <c r="KJV48" s="159"/>
      <c r="KJW48" s="159"/>
      <c r="KJX48" s="159"/>
      <c r="KJY48" s="159"/>
      <c r="KJZ48" s="159"/>
      <c r="KKA48" s="159"/>
      <c r="KKB48" s="159"/>
      <c r="KKC48" s="159"/>
      <c r="KKD48" s="159"/>
      <c r="KKE48" s="159"/>
      <c r="KKF48" s="159"/>
      <c r="KKG48" s="159"/>
      <c r="KKH48" s="159"/>
      <c r="KKI48" s="159"/>
      <c r="KKJ48" s="159"/>
      <c r="KKK48" s="159"/>
      <c r="KKL48" s="159"/>
      <c r="KKM48" s="159"/>
      <c r="KKN48" s="159"/>
      <c r="KKO48" s="159"/>
      <c r="KKP48" s="159"/>
      <c r="KKQ48" s="159"/>
      <c r="KKR48" s="159"/>
      <c r="KKS48" s="159"/>
      <c r="KKT48" s="159"/>
      <c r="KKU48" s="159"/>
      <c r="KKV48" s="159"/>
      <c r="KKW48" s="159"/>
      <c r="KKX48" s="159"/>
      <c r="KKY48" s="159"/>
      <c r="KKZ48" s="159"/>
      <c r="KLA48" s="159"/>
      <c r="KLB48" s="159"/>
      <c r="KLC48" s="159"/>
      <c r="KLD48" s="159"/>
      <c r="KLE48" s="159"/>
      <c r="KLF48" s="159"/>
      <c r="KLG48" s="159"/>
      <c r="KLH48" s="159"/>
      <c r="KLI48" s="159"/>
      <c r="KLJ48" s="159"/>
      <c r="KLK48" s="159"/>
      <c r="KLL48" s="159"/>
      <c r="KLM48" s="159"/>
      <c r="KLN48" s="159"/>
      <c r="KLO48" s="159"/>
      <c r="KLP48" s="159"/>
      <c r="KLQ48" s="159"/>
      <c r="KLR48" s="159"/>
      <c r="KLS48" s="159"/>
      <c r="KLT48" s="159"/>
      <c r="KLU48" s="159"/>
      <c r="KLV48" s="159"/>
      <c r="KLW48" s="159"/>
      <c r="KLX48" s="159"/>
      <c r="KLY48" s="159"/>
      <c r="KLZ48" s="159"/>
      <c r="KMA48" s="159"/>
      <c r="KMB48" s="159"/>
      <c r="KMC48" s="159"/>
      <c r="KMD48" s="159"/>
      <c r="KME48" s="159"/>
      <c r="KMF48" s="159"/>
      <c r="KMG48" s="159"/>
      <c r="KMH48" s="159"/>
      <c r="KMI48" s="159"/>
      <c r="KMJ48" s="159"/>
      <c r="KMK48" s="159"/>
      <c r="KML48" s="159"/>
      <c r="KMM48" s="159"/>
      <c r="KMN48" s="159"/>
      <c r="KMO48" s="159"/>
      <c r="KMP48" s="159"/>
      <c r="KMQ48" s="159"/>
      <c r="KMR48" s="159"/>
      <c r="KMS48" s="159"/>
      <c r="KMT48" s="159"/>
      <c r="KMU48" s="159"/>
      <c r="KMV48" s="159"/>
      <c r="KMW48" s="159"/>
      <c r="KMX48" s="159"/>
      <c r="KMY48" s="159"/>
      <c r="KMZ48" s="159"/>
      <c r="KNA48" s="159"/>
      <c r="KNB48" s="159"/>
      <c r="KNC48" s="159"/>
      <c r="KND48" s="159"/>
      <c r="KNE48" s="159"/>
      <c r="KNF48" s="159"/>
      <c r="KNG48" s="159"/>
      <c r="KNH48" s="159"/>
      <c r="KNI48" s="159"/>
      <c r="KNJ48" s="159"/>
      <c r="KNK48" s="159"/>
      <c r="KNL48" s="159"/>
      <c r="KNM48" s="159"/>
      <c r="KNN48" s="159"/>
      <c r="KNO48" s="159"/>
      <c r="KNP48" s="159"/>
      <c r="KNQ48" s="159"/>
      <c r="KNR48" s="159"/>
      <c r="KNS48" s="159"/>
      <c r="KNT48" s="159"/>
      <c r="KNU48" s="159"/>
      <c r="KNV48" s="159"/>
      <c r="KNW48" s="159"/>
      <c r="KNX48" s="159"/>
      <c r="KNY48" s="159"/>
      <c r="KNZ48" s="159"/>
      <c r="KOA48" s="159"/>
      <c r="KOB48" s="159"/>
      <c r="KOC48" s="159"/>
      <c r="KOD48" s="159"/>
      <c r="KOE48" s="159"/>
      <c r="KOF48" s="159"/>
      <c r="KOG48" s="159"/>
      <c r="KOH48" s="159"/>
      <c r="KOI48" s="159"/>
      <c r="KOJ48" s="159"/>
      <c r="KOK48" s="159"/>
      <c r="KOL48" s="159"/>
      <c r="KOM48" s="159"/>
      <c r="KON48" s="159"/>
      <c r="KOO48" s="159"/>
      <c r="KOP48" s="159"/>
      <c r="KOQ48" s="159"/>
      <c r="KOR48" s="159"/>
      <c r="KOS48" s="159"/>
      <c r="KOT48" s="159"/>
      <c r="KOU48" s="159"/>
      <c r="KOV48" s="159"/>
      <c r="KOW48" s="159"/>
      <c r="KOX48" s="159"/>
      <c r="KOY48" s="159"/>
      <c r="KOZ48" s="159"/>
      <c r="KPA48" s="159"/>
      <c r="KPB48" s="159"/>
      <c r="KPC48" s="159"/>
      <c r="KPD48" s="159"/>
      <c r="KPE48" s="159"/>
      <c r="KPF48" s="159"/>
      <c r="KPG48" s="159"/>
      <c r="KPH48" s="159"/>
      <c r="KPI48" s="159"/>
      <c r="KPJ48" s="159"/>
      <c r="KPK48" s="159"/>
      <c r="KPL48" s="159"/>
      <c r="KPM48" s="159"/>
      <c r="KPN48" s="159"/>
      <c r="KPO48" s="159"/>
      <c r="KPP48" s="159"/>
      <c r="KPQ48" s="159"/>
      <c r="KPR48" s="159"/>
      <c r="KPS48" s="159"/>
      <c r="KPT48" s="159"/>
      <c r="KPU48" s="159"/>
      <c r="KPV48" s="159"/>
      <c r="KPW48" s="159"/>
      <c r="KPX48" s="159"/>
      <c r="KPY48" s="159"/>
      <c r="KPZ48" s="159"/>
      <c r="KQA48" s="159"/>
      <c r="KQB48" s="159"/>
      <c r="KQC48" s="159"/>
      <c r="KQD48" s="159"/>
      <c r="KQE48" s="159"/>
      <c r="KQF48" s="159"/>
      <c r="KQG48" s="159"/>
      <c r="KQH48" s="159"/>
      <c r="KQI48" s="159"/>
      <c r="KQJ48" s="159"/>
      <c r="KQK48" s="159"/>
      <c r="KQL48" s="159"/>
      <c r="KQM48" s="159"/>
      <c r="KQN48" s="159"/>
      <c r="KQO48" s="159"/>
      <c r="KQP48" s="159"/>
      <c r="KQQ48" s="159"/>
      <c r="KQR48" s="159"/>
      <c r="KQS48" s="159"/>
      <c r="KQT48" s="159"/>
      <c r="KQU48" s="159"/>
      <c r="KQV48" s="159"/>
      <c r="KQW48" s="159"/>
      <c r="KQX48" s="159"/>
      <c r="KQY48" s="159"/>
      <c r="KQZ48" s="159"/>
      <c r="KRA48" s="159"/>
      <c r="KRB48" s="159"/>
      <c r="KRC48" s="159"/>
      <c r="KRD48" s="159"/>
      <c r="KRE48" s="159"/>
      <c r="KRF48" s="159"/>
      <c r="KRG48" s="159"/>
      <c r="KRH48" s="159"/>
      <c r="KRI48" s="159"/>
      <c r="KRJ48" s="159"/>
      <c r="KRK48" s="159"/>
      <c r="KRL48" s="159"/>
      <c r="KRM48" s="159"/>
      <c r="KRN48" s="159"/>
      <c r="KRO48" s="159"/>
      <c r="KRP48" s="159"/>
      <c r="KRQ48" s="159"/>
      <c r="KRR48" s="159"/>
      <c r="KRS48" s="159"/>
      <c r="KRT48" s="159"/>
      <c r="KRU48" s="159"/>
      <c r="KRV48" s="159"/>
      <c r="KRW48" s="159"/>
      <c r="KRX48" s="159"/>
      <c r="KRY48" s="159"/>
      <c r="KRZ48" s="159"/>
      <c r="KSA48" s="159"/>
      <c r="KSB48" s="159"/>
      <c r="KSC48" s="159"/>
      <c r="KSD48" s="159"/>
      <c r="KSE48" s="159"/>
      <c r="KSF48" s="159"/>
      <c r="KSG48" s="159"/>
      <c r="KSH48" s="159"/>
      <c r="KSI48" s="159"/>
      <c r="KSJ48" s="159"/>
      <c r="KSK48" s="159"/>
      <c r="KSL48" s="159"/>
      <c r="KSM48" s="159"/>
      <c r="KSN48" s="159"/>
      <c r="KSO48" s="159"/>
      <c r="KSP48" s="159"/>
      <c r="KSQ48" s="159"/>
      <c r="KSR48" s="159"/>
      <c r="KSS48" s="159"/>
      <c r="KST48" s="159"/>
      <c r="KSU48" s="159"/>
      <c r="KSV48" s="159"/>
      <c r="KSW48" s="159"/>
      <c r="KSX48" s="159"/>
      <c r="KSY48" s="159"/>
      <c r="KSZ48" s="159"/>
      <c r="KTA48" s="159"/>
      <c r="KTB48" s="159"/>
      <c r="KTC48" s="159"/>
      <c r="KTD48" s="159"/>
      <c r="KTE48" s="159"/>
      <c r="KTF48" s="159"/>
      <c r="KTG48" s="159"/>
      <c r="KTH48" s="159"/>
      <c r="KTI48" s="159"/>
      <c r="KTJ48" s="159"/>
      <c r="KTK48" s="159"/>
      <c r="KTL48" s="159"/>
      <c r="KTM48" s="159"/>
      <c r="KTN48" s="159"/>
      <c r="KTO48" s="159"/>
      <c r="KTP48" s="159"/>
      <c r="KTQ48" s="159"/>
      <c r="KTR48" s="159"/>
      <c r="KTS48" s="159"/>
      <c r="KTT48" s="159"/>
      <c r="KTU48" s="159"/>
      <c r="KTV48" s="159"/>
      <c r="KTW48" s="159"/>
      <c r="KTX48" s="159"/>
      <c r="KTY48" s="159"/>
      <c r="KTZ48" s="159"/>
      <c r="KUA48" s="159"/>
      <c r="KUB48" s="159"/>
      <c r="KUC48" s="159"/>
      <c r="KUD48" s="159"/>
      <c r="KUE48" s="159"/>
      <c r="KUF48" s="159"/>
      <c r="KUG48" s="159"/>
      <c r="KUH48" s="159"/>
      <c r="KUI48" s="159"/>
      <c r="KUJ48" s="159"/>
      <c r="KUK48" s="159"/>
      <c r="KUL48" s="159"/>
      <c r="KUM48" s="159"/>
      <c r="KUN48" s="159"/>
      <c r="KUO48" s="159"/>
      <c r="KUP48" s="159"/>
      <c r="KUQ48" s="159"/>
      <c r="KUR48" s="159"/>
      <c r="KUS48" s="159"/>
      <c r="KUT48" s="159"/>
      <c r="KUU48" s="159"/>
      <c r="KUV48" s="159"/>
      <c r="KUW48" s="159"/>
      <c r="KUX48" s="159"/>
      <c r="KUY48" s="159"/>
      <c r="KUZ48" s="159"/>
      <c r="KVA48" s="159"/>
      <c r="KVB48" s="159"/>
      <c r="KVC48" s="159"/>
      <c r="KVD48" s="159"/>
      <c r="KVE48" s="159"/>
      <c r="KVF48" s="159"/>
      <c r="KVG48" s="159"/>
      <c r="KVH48" s="159"/>
      <c r="KVI48" s="159"/>
      <c r="KVJ48" s="159"/>
      <c r="KVK48" s="159"/>
      <c r="KVL48" s="159"/>
      <c r="KVM48" s="159"/>
      <c r="KVN48" s="159"/>
      <c r="KVO48" s="159"/>
      <c r="KVP48" s="159"/>
      <c r="KVQ48" s="159"/>
      <c r="KVR48" s="159"/>
      <c r="KVS48" s="159"/>
      <c r="KVT48" s="159"/>
      <c r="KVU48" s="159"/>
      <c r="KVV48" s="159"/>
      <c r="KVW48" s="159"/>
      <c r="KVX48" s="159"/>
      <c r="KVY48" s="159"/>
      <c r="KVZ48" s="159"/>
      <c r="KWA48" s="159"/>
      <c r="KWB48" s="159"/>
      <c r="KWC48" s="159"/>
      <c r="KWD48" s="159"/>
      <c r="KWE48" s="159"/>
      <c r="KWF48" s="159"/>
      <c r="KWG48" s="159"/>
      <c r="KWH48" s="159"/>
      <c r="KWI48" s="159"/>
      <c r="KWJ48" s="159"/>
      <c r="KWK48" s="159"/>
      <c r="KWL48" s="159"/>
      <c r="KWM48" s="159"/>
      <c r="KWN48" s="159"/>
      <c r="KWO48" s="159"/>
      <c r="KWP48" s="159"/>
      <c r="KWQ48" s="159"/>
      <c r="KWR48" s="159"/>
      <c r="KWS48" s="159"/>
      <c r="KWT48" s="159"/>
      <c r="KWU48" s="159"/>
      <c r="KWV48" s="159"/>
      <c r="KWW48" s="159"/>
      <c r="KWX48" s="159"/>
      <c r="KWY48" s="159"/>
      <c r="KWZ48" s="159"/>
      <c r="KXA48" s="159"/>
      <c r="KXB48" s="159"/>
      <c r="KXC48" s="159"/>
      <c r="KXD48" s="159"/>
      <c r="KXE48" s="159"/>
      <c r="KXF48" s="159"/>
      <c r="KXG48" s="159"/>
      <c r="KXH48" s="159"/>
      <c r="KXI48" s="159"/>
      <c r="KXJ48" s="159"/>
      <c r="KXK48" s="159"/>
      <c r="KXL48" s="159"/>
      <c r="KXM48" s="159"/>
      <c r="KXN48" s="159"/>
      <c r="KXO48" s="159"/>
      <c r="KXP48" s="159"/>
      <c r="KXQ48" s="159"/>
      <c r="KXR48" s="159"/>
      <c r="KXS48" s="159"/>
      <c r="KXT48" s="159"/>
      <c r="KXU48" s="159"/>
      <c r="KXV48" s="159"/>
      <c r="KXW48" s="159"/>
      <c r="KXX48" s="159"/>
      <c r="KXY48" s="159"/>
      <c r="KXZ48" s="159"/>
      <c r="KYA48" s="159"/>
      <c r="KYB48" s="159"/>
      <c r="KYC48" s="159"/>
      <c r="KYD48" s="159"/>
      <c r="KYE48" s="159"/>
      <c r="KYF48" s="159"/>
      <c r="KYG48" s="159"/>
      <c r="KYH48" s="159"/>
      <c r="KYI48" s="159"/>
      <c r="KYJ48" s="159"/>
      <c r="KYK48" s="159"/>
      <c r="KYL48" s="159"/>
      <c r="KYM48" s="159"/>
      <c r="KYN48" s="159"/>
      <c r="KYO48" s="159"/>
      <c r="KYP48" s="159"/>
      <c r="KYQ48" s="159"/>
      <c r="KYR48" s="159"/>
      <c r="KYS48" s="159"/>
      <c r="KYT48" s="159"/>
      <c r="KYU48" s="159"/>
      <c r="KYV48" s="159"/>
      <c r="KYW48" s="159"/>
      <c r="KYX48" s="159"/>
      <c r="KYY48" s="159"/>
      <c r="KYZ48" s="159"/>
      <c r="KZA48" s="159"/>
      <c r="KZB48" s="159"/>
      <c r="KZC48" s="159"/>
      <c r="KZD48" s="159"/>
      <c r="KZE48" s="159"/>
      <c r="KZF48" s="159"/>
      <c r="KZG48" s="159"/>
      <c r="KZH48" s="159"/>
      <c r="KZI48" s="159"/>
      <c r="KZJ48" s="159"/>
      <c r="KZK48" s="159"/>
      <c r="KZL48" s="159"/>
      <c r="KZM48" s="159"/>
      <c r="KZN48" s="159"/>
      <c r="KZO48" s="159"/>
      <c r="KZP48" s="159"/>
      <c r="KZQ48" s="159"/>
      <c r="KZR48" s="159"/>
      <c r="KZS48" s="159"/>
      <c r="KZT48" s="159"/>
      <c r="KZU48" s="159"/>
      <c r="KZV48" s="159"/>
      <c r="KZW48" s="159"/>
      <c r="KZX48" s="159"/>
      <c r="KZY48" s="159"/>
      <c r="KZZ48" s="159"/>
      <c r="LAA48" s="159"/>
      <c r="LAB48" s="159"/>
      <c r="LAC48" s="159"/>
      <c r="LAD48" s="159"/>
      <c r="LAE48" s="159"/>
      <c r="LAF48" s="159"/>
      <c r="LAG48" s="159"/>
      <c r="LAH48" s="159"/>
      <c r="LAI48" s="159"/>
      <c r="LAJ48" s="159"/>
      <c r="LAK48" s="159"/>
      <c r="LAL48" s="159"/>
      <c r="LAM48" s="159"/>
      <c r="LAN48" s="159"/>
      <c r="LAO48" s="159"/>
      <c r="LAP48" s="159"/>
      <c r="LAQ48" s="159"/>
      <c r="LAR48" s="159"/>
      <c r="LAS48" s="159"/>
      <c r="LAT48" s="159"/>
      <c r="LAU48" s="159"/>
      <c r="LAV48" s="159"/>
      <c r="LAW48" s="159"/>
      <c r="LAX48" s="159"/>
      <c r="LAY48" s="159"/>
      <c r="LAZ48" s="159"/>
      <c r="LBA48" s="159"/>
      <c r="LBB48" s="159"/>
      <c r="LBC48" s="159"/>
      <c r="LBD48" s="159"/>
      <c r="LBE48" s="159"/>
      <c r="LBF48" s="159"/>
      <c r="LBG48" s="159"/>
      <c r="LBH48" s="159"/>
      <c r="LBI48" s="159"/>
      <c r="LBJ48" s="159"/>
      <c r="LBK48" s="159"/>
      <c r="LBL48" s="159"/>
      <c r="LBM48" s="159"/>
      <c r="LBN48" s="159"/>
      <c r="LBO48" s="159"/>
      <c r="LBP48" s="159"/>
      <c r="LBQ48" s="159"/>
      <c r="LBR48" s="159"/>
      <c r="LBS48" s="159"/>
      <c r="LBT48" s="159"/>
      <c r="LBU48" s="159"/>
      <c r="LBV48" s="159"/>
      <c r="LBW48" s="159"/>
      <c r="LBX48" s="159"/>
      <c r="LBY48" s="159"/>
      <c r="LBZ48" s="159"/>
      <c r="LCA48" s="159"/>
      <c r="LCB48" s="159"/>
      <c r="LCC48" s="159"/>
      <c r="LCD48" s="159"/>
      <c r="LCE48" s="159"/>
      <c r="LCF48" s="159"/>
      <c r="LCG48" s="159"/>
      <c r="LCH48" s="159"/>
      <c r="LCI48" s="159"/>
      <c r="LCJ48" s="159"/>
      <c r="LCK48" s="159"/>
      <c r="LCL48" s="159"/>
      <c r="LCM48" s="159"/>
      <c r="LCN48" s="159"/>
      <c r="LCO48" s="159"/>
      <c r="LCP48" s="159"/>
      <c r="LCQ48" s="159"/>
      <c r="LCR48" s="159"/>
      <c r="LCS48" s="159"/>
      <c r="LCT48" s="159"/>
      <c r="LCU48" s="159"/>
      <c r="LCV48" s="159"/>
      <c r="LCW48" s="159"/>
      <c r="LCX48" s="159"/>
      <c r="LCY48" s="159"/>
      <c r="LCZ48" s="159"/>
      <c r="LDA48" s="159"/>
      <c r="LDB48" s="159"/>
      <c r="LDC48" s="159"/>
      <c r="LDD48" s="159"/>
      <c r="LDE48" s="159"/>
      <c r="LDF48" s="159"/>
      <c r="LDG48" s="159"/>
      <c r="LDH48" s="159"/>
      <c r="LDI48" s="159"/>
      <c r="LDJ48" s="159"/>
      <c r="LDK48" s="159"/>
      <c r="LDL48" s="159"/>
      <c r="LDM48" s="159"/>
      <c r="LDN48" s="159"/>
      <c r="LDO48" s="159"/>
      <c r="LDP48" s="159"/>
      <c r="LDQ48" s="159"/>
      <c r="LDR48" s="159"/>
      <c r="LDS48" s="159"/>
      <c r="LDT48" s="159"/>
      <c r="LDU48" s="159"/>
      <c r="LDV48" s="159"/>
      <c r="LDW48" s="159"/>
      <c r="LDX48" s="159"/>
      <c r="LDY48" s="159"/>
      <c r="LDZ48" s="159"/>
      <c r="LEA48" s="159"/>
      <c r="LEB48" s="159"/>
      <c r="LEC48" s="159"/>
      <c r="LED48" s="159"/>
      <c r="LEE48" s="159"/>
      <c r="LEF48" s="159"/>
      <c r="LEG48" s="159"/>
      <c r="LEH48" s="159"/>
      <c r="LEI48" s="159"/>
      <c r="LEJ48" s="159"/>
      <c r="LEK48" s="159"/>
      <c r="LEL48" s="159"/>
      <c r="LEM48" s="159"/>
      <c r="LEN48" s="159"/>
      <c r="LEO48" s="159"/>
      <c r="LEP48" s="159"/>
      <c r="LEQ48" s="159"/>
      <c r="LER48" s="159"/>
      <c r="LES48" s="159"/>
      <c r="LET48" s="159"/>
      <c r="LEU48" s="159"/>
      <c r="LEV48" s="159"/>
      <c r="LEW48" s="159"/>
      <c r="LEX48" s="159"/>
      <c r="LEY48" s="159"/>
      <c r="LEZ48" s="159"/>
      <c r="LFA48" s="159"/>
      <c r="LFB48" s="159"/>
      <c r="LFC48" s="159"/>
      <c r="LFD48" s="159"/>
      <c r="LFE48" s="159"/>
      <c r="LFF48" s="159"/>
      <c r="LFG48" s="159"/>
      <c r="LFH48" s="159"/>
      <c r="LFI48" s="159"/>
      <c r="LFJ48" s="159"/>
      <c r="LFK48" s="159"/>
      <c r="LFL48" s="159"/>
      <c r="LFM48" s="159"/>
      <c r="LFN48" s="159"/>
      <c r="LFO48" s="159"/>
      <c r="LFP48" s="159"/>
      <c r="LFQ48" s="159"/>
      <c r="LFR48" s="159"/>
      <c r="LFS48" s="159"/>
      <c r="LFT48" s="159"/>
      <c r="LFU48" s="159"/>
      <c r="LFV48" s="159"/>
      <c r="LFW48" s="159"/>
      <c r="LFX48" s="159"/>
      <c r="LFY48" s="159"/>
      <c r="LFZ48" s="159"/>
      <c r="LGA48" s="159"/>
      <c r="LGB48" s="159"/>
      <c r="LGC48" s="159"/>
      <c r="LGD48" s="159"/>
      <c r="LGE48" s="159"/>
      <c r="LGF48" s="159"/>
      <c r="LGG48" s="159"/>
      <c r="LGH48" s="159"/>
      <c r="LGI48" s="159"/>
      <c r="LGJ48" s="159"/>
      <c r="LGK48" s="159"/>
      <c r="LGL48" s="159"/>
      <c r="LGM48" s="159"/>
      <c r="LGN48" s="159"/>
      <c r="LGO48" s="159"/>
      <c r="LGP48" s="159"/>
      <c r="LGQ48" s="159"/>
      <c r="LGR48" s="159"/>
      <c r="LGS48" s="159"/>
      <c r="LGT48" s="159"/>
      <c r="LGU48" s="159"/>
      <c r="LGV48" s="159"/>
      <c r="LGW48" s="159"/>
      <c r="LGX48" s="159"/>
      <c r="LGY48" s="159"/>
      <c r="LGZ48" s="159"/>
      <c r="LHA48" s="159"/>
      <c r="LHB48" s="159"/>
      <c r="LHC48" s="159"/>
      <c r="LHD48" s="159"/>
      <c r="LHE48" s="159"/>
      <c r="LHF48" s="159"/>
      <c r="LHG48" s="159"/>
      <c r="LHH48" s="159"/>
      <c r="LHI48" s="159"/>
      <c r="LHJ48" s="159"/>
      <c r="LHK48" s="159"/>
      <c r="LHL48" s="159"/>
      <c r="LHM48" s="159"/>
      <c r="LHN48" s="159"/>
      <c r="LHO48" s="159"/>
      <c r="LHP48" s="159"/>
      <c r="LHQ48" s="159"/>
      <c r="LHR48" s="159"/>
      <c r="LHS48" s="159"/>
      <c r="LHT48" s="159"/>
      <c r="LHU48" s="159"/>
      <c r="LHV48" s="159"/>
      <c r="LHW48" s="159"/>
      <c r="LHX48" s="159"/>
      <c r="LHY48" s="159"/>
      <c r="LHZ48" s="159"/>
      <c r="LIA48" s="159"/>
      <c r="LIB48" s="159"/>
      <c r="LIC48" s="159"/>
      <c r="LID48" s="159"/>
      <c r="LIE48" s="159"/>
      <c r="LIF48" s="159"/>
      <c r="LIG48" s="159"/>
      <c r="LIH48" s="159"/>
      <c r="LII48" s="159"/>
      <c r="LIJ48" s="159"/>
      <c r="LIK48" s="159"/>
      <c r="LIL48" s="159"/>
      <c r="LIM48" s="159"/>
      <c r="LIN48" s="159"/>
      <c r="LIO48" s="159"/>
      <c r="LIP48" s="159"/>
      <c r="LIQ48" s="159"/>
      <c r="LIR48" s="159"/>
      <c r="LIS48" s="159"/>
      <c r="LIT48" s="159"/>
      <c r="LIU48" s="159"/>
      <c r="LIV48" s="159"/>
      <c r="LIW48" s="159"/>
      <c r="LIX48" s="159"/>
      <c r="LIY48" s="159"/>
      <c r="LIZ48" s="159"/>
      <c r="LJA48" s="159"/>
      <c r="LJB48" s="159"/>
      <c r="LJC48" s="159"/>
      <c r="LJD48" s="159"/>
      <c r="LJE48" s="159"/>
      <c r="LJF48" s="159"/>
      <c r="LJG48" s="159"/>
      <c r="LJH48" s="159"/>
      <c r="LJI48" s="159"/>
      <c r="LJJ48" s="159"/>
      <c r="LJK48" s="159"/>
      <c r="LJL48" s="159"/>
      <c r="LJM48" s="159"/>
      <c r="LJN48" s="159"/>
      <c r="LJO48" s="159"/>
      <c r="LJP48" s="159"/>
      <c r="LJQ48" s="159"/>
      <c r="LJR48" s="159"/>
      <c r="LJS48" s="159"/>
      <c r="LJT48" s="159"/>
      <c r="LJU48" s="159"/>
      <c r="LJV48" s="159"/>
      <c r="LJW48" s="159"/>
      <c r="LJX48" s="159"/>
      <c r="LJY48" s="159"/>
      <c r="LJZ48" s="159"/>
      <c r="LKA48" s="159"/>
      <c r="LKB48" s="159"/>
      <c r="LKC48" s="159"/>
      <c r="LKD48" s="159"/>
      <c r="LKE48" s="159"/>
      <c r="LKF48" s="159"/>
      <c r="LKG48" s="159"/>
      <c r="LKH48" s="159"/>
      <c r="LKI48" s="159"/>
      <c r="LKJ48" s="159"/>
      <c r="LKK48" s="159"/>
      <c r="LKL48" s="159"/>
      <c r="LKM48" s="159"/>
      <c r="LKN48" s="159"/>
      <c r="LKO48" s="159"/>
      <c r="LKP48" s="159"/>
      <c r="LKQ48" s="159"/>
      <c r="LKR48" s="159"/>
      <c r="LKS48" s="159"/>
      <c r="LKT48" s="159"/>
      <c r="LKU48" s="159"/>
      <c r="LKV48" s="159"/>
      <c r="LKW48" s="159"/>
      <c r="LKX48" s="159"/>
      <c r="LKY48" s="159"/>
      <c r="LKZ48" s="159"/>
      <c r="LLA48" s="159"/>
      <c r="LLB48" s="159"/>
      <c r="LLC48" s="159"/>
      <c r="LLD48" s="159"/>
      <c r="LLE48" s="159"/>
      <c r="LLF48" s="159"/>
      <c r="LLG48" s="159"/>
      <c r="LLH48" s="159"/>
      <c r="LLI48" s="159"/>
      <c r="LLJ48" s="159"/>
      <c r="LLK48" s="159"/>
      <c r="LLL48" s="159"/>
      <c r="LLM48" s="159"/>
      <c r="LLN48" s="159"/>
      <c r="LLO48" s="159"/>
      <c r="LLP48" s="159"/>
      <c r="LLQ48" s="159"/>
      <c r="LLR48" s="159"/>
      <c r="LLS48" s="159"/>
      <c r="LLT48" s="159"/>
      <c r="LLU48" s="159"/>
      <c r="LLV48" s="159"/>
      <c r="LLW48" s="159"/>
      <c r="LLX48" s="159"/>
      <c r="LLY48" s="159"/>
      <c r="LLZ48" s="159"/>
      <c r="LMA48" s="159"/>
      <c r="LMB48" s="159"/>
      <c r="LMC48" s="159"/>
      <c r="LMD48" s="159"/>
      <c r="LME48" s="159"/>
      <c r="LMF48" s="159"/>
      <c r="LMG48" s="159"/>
      <c r="LMH48" s="159"/>
      <c r="LMI48" s="159"/>
      <c r="LMJ48" s="159"/>
      <c r="LMK48" s="159"/>
      <c r="LML48" s="159"/>
      <c r="LMM48" s="159"/>
      <c r="LMN48" s="159"/>
      <c r="LMO48" s="159"/>
      <c r="LMP48" s="159"/>
      <c r="LMQ48" s="159"/>
      <c r="LMR48" s="159"/>
      <c r="LMS48" s="159"/>
      <c r="LMT48" s="159"/>
      <c r="LMU48" s="159"/>
      <c r="LMV48" s="159"/>
      <c r="LMW48" s="159"/>
      <c r="LMX48" s="159"/>
      <c r="LMY48" s="159"/>
      <c r="LMZ48" s="159"/>
      <c r="LNA48" s="159"/>
      <c r="LNB48" s="159"/>
      <c r="LNC48" s="159"/>
      <c r="LND48" s="159"/>
      <c r="LNE48" s="159"/>
      <c r="LNF48" s="159"/>
      <c r="LNG48" s="159"/>
      <c r="LNH48" s="159"/>
      <c r="LNI48" s="159"/>
      <c r="LNJ48" s="159"/>
      <c r="LNK48" s="159"/>
      <c r="LNL48" s="159"/>
      <c r="LNM48" s="159"/>
      <c r="LNN48" s="159"/>
      <c r="LNO48" s="159"/>
      <c r="LNP48" s="159"/>
      <c r="LNQ48" s="159"/>
      <c r="LNR48" s="159"/>
      <c r="LNS48" s="159"/>
      <c r="LNT48" s="159"/>
      <c r="LNU48" s="159"/>
      <c r="LNV48" s="159"/>
      <c r="LNW48" s="159"/>
      <c r="LNX48" s="159"/>
      <c r="LNY48" s="159"/>
      <c r="LNZ48" s="159"/>
      <c r="LOA48" s="159"/>
      <c r="LOB48" s="159"/>
      <c r="LOC48" s="159"/>
      <c r="LOD48" s="159"/>
      <c r="LOE48" s="159"/>
      <c r="LOF48" s="159"/>
      <c r="LOG48" s="159"/>
      <c r="LOH48" s="159"/>
      <c r="LOI48" s="159"/>
      <c r="LOJ48" s="159"/>
      <c r="LOK48" s="159"/>
      <c r="LOL48" s="159"/>
      <c r="LOM48" s="159"/>
      <c r="LON48" s="159"/>
      <c r="LOO48" s="159"/>
      <c r="LOP48" s="159"/>
      <c r="LOQ48" s="159"/>
      <c r="LOR48" s="159"/>
      <c r="LOS48" s="159"/>
      <c r="LOT48" s="159"/>
      <c r="LOU48" s="159"/>
      <c r="LOV48" s="159"/>
      <c r="LOW48" s="159"/>
      <c r="LOX48" s="159"/>
      <c r="LOY48" s="159"/>
      <c r="LOZ48" s="159"/>
      <c r="LPA48" s="159"/>
      <c r="LPB48" s="159"/>
      <c r="LPC48" s="159"/>
      <c r="LPD48" s="159"/>
      <c r="LPE48" s="159"/>
      <c r="LPF48" s="159"/>
      <c r="LPG48" s="159"/>
      <c r="LPH48" s="159"/>
      <c r="LPI48" s="159"/>
      <c r="LPJ48" s="159"/>
      <c r="LPK48" s="159"/>
      <c r="LPL48" s="159"/>
      <c r="LPM48" s="159"/>
      <c r="LPN48" s="159"/>
      <c r="LPO48" s="159"/>
      <c r="LPP48" s="159"/>
      <c r="LPQ48" s="159"/>
      <c r="LPR48" s="159"/>
      <c r="LPS48" s="159"/>
      <c r="LPT48" s="159"/>
      <c r="LPU48" s="159"/>
      <c r="LPV48" s="159"/>
      <c r="LPW48" s="159"/>
      <c r="LPX48" s="159"/>
      <c r="LPY48" s="159"/>
      <c r="LPZ48" s="159"/>
      <c r="LQA48" s="159"/>
      <c r="LQB48" s="159"/>
      <c r="LQC48" s="159"/>
      <c r="LQD48" s="159"/>
      <c r="LQE48" s="159"/>
      <c r="LQF48" s="159"/>
      <c r="LQG48" s="159"/>
      <c r="LQH48" s="159"/>
      <c r="LQI48" s="159"/>
      <c r="LQJ48" s="159"/>
      <c r="LQK48" s="159"/>
      <c r="LQL48" s="159"/>
      <c r="LQM48" s="159"/>
      <c r="LQN48" s="159"/>
      <c r="LQO48" s="159"/>
      <c r="LQP48" s="159"/>
      <c r="LQQ48" s="159"/>
      <c r="LQR48" s="159"/>
      <c r="LQS48" s="159"/>
      <c r="LQT48" s="159"/>
      <c r="LQU48" s="159"/>
      <c r="LQV48" s="159"/>
      <c r="LQW48" s="159"/>
      <c r="LQX48" s="159"/>
      <c r="LQY48" s="159"/>
      <c r="LQZ48" s="159"/>
      <c r="LRA48" s="159"/>
      <c r="LRB48" s="159"/>
      <c r="LRC48" s="159"/>
      <c r="LRD48" s="159"/>
      <c r="LRE48" s="159"/>
      <c r="LRF48" s="159"/>
      <c r="LRG48" s="159"/>
      <c r="LRH48" s="159"/>
      <c r="LRI48" s="159"/>
      <c r="LRJ48" s="159"/>
      <c r="LRK48" s="159"/>
      <c r="LRL48" s="159"/>
      <c r="LRM48" s="159"/>
      <c r="LRN48" s="159"/>
      <c r="LRO48" s="159"/>
      <c r="LRP48" s="159"/>
      <c r="LRQ48" s="159"/>
      <c r="LRR48" s="159"/>
      <c r="LRS48" s="159"/>
      <c r="LRT48" s="159"/>
      <c r="LRU48" s="159"/>
      <c r="LRV48" s="159"/>
      <c r="LRW48" s="159"/>
      <c r="LRX48" s="159"/>
      <c r="LRY48" s="159"/>
      <c r="LRZ48" s="159"/>
      <c r="LSA48" s="159"/>
      <c r="LSB48" s="159"/>
      <c r="LSC48" s="159"/>
      <c r="LSD48" s="159"/>
      <c r="LSE48" s="159"/>
      <c r="LSF48" s="159"/>
      <c r="LSG48" s="159"/>
      <c r="LSH48" s="159"/>
      <c r="LSI48" s="159"/>
      <c r="LSJ48" s="159"/>
      <c r="LSK48" s="159"/>
      <c r="LSL48" s="159"/>
      <c r="LSM48" s="159"/>
      <c r="LSN48" s="159"/>
      <c r="LSO48" s="159"/>
      <c r="LSP48" s="159"/>
      <c r="LSQ48" s="159"/>
      <c r="LSR48" s="159"/>
      <c r="LSS48" s="159"/>
      <c r="LST48" s="159"/>
      <c r="LSU48" s="159"/>
      <c r="LSV48" s="159"/>
      <c r="LSW48" s="159"/>
      <c r="LSX48" s="159"/>
      <c r="LSY48" s="159"/>
      <c r="LSZ48" s="159"/>
      <c r="LTA48" s="159"/>
      <c r="LTB48" s="159"/>
      <c r="LTC48" s="159"/>
      <c r="LTD48" s="159"/>
      <c r="LTE48" s="159"/>
      <c r="LTF48" s="159"/>
      <c r="LTG48" s="159"/>
      <c r="LTH48" s="159"/>
      <c r="LTI48" s="159"/>
      <c r="LTJ48" s="159"/>
      <c r="LTK48" s="159"/>
      <c r="LTL48" s="159"/>
      <c r="LTM48" s="159"/>
      <c r="LTN48" s="159"/>
      <c r="LTO48" s="159"/>
      <c r="LTP48" s="159"/>
      <c r="LTQ48" s="159"/>
      <c r="LTR48" s="159"/>
      <c r="LTS48" s="159"/>
      <c r="LTT48" s="159"/>
      <c r="LTU48" s="159"/>
      <c r="LTV48" s="159"/>
      <c r="LTW48" s="159"/>
      <c r="LTX48" s="159"/>
      <c r="LTY48" s="159"/>
      <c r="LTZ48" s="159"/>
      <c r="LUA48" s="159"/>
      <c r="LUB48" s="159"/>
      <c r="LUC48" s="159"/>
      <c r="LUD48" s="159"/>
      <c r="LUE48" s="159"/>
      <c r="LUF48" s="159"/>
      <c r="LUG48" s="159"/>
      <c r="LUH48" s="159"/>
      <c r="LUI48" s="159"/>
      <c r="LUJ48" s="159"/>
      <c r="LUK48" s="159"/>
      <c r="LUL48" s="159"/>
      <c r="LUM48" s="159"/>
      <c r="LUN48" s="159"/>
      <c r="LUO48" s="159"/>
      <c r="LUP48" s="159"/>
      <c r="LUQ48" s="159"/>
      <c r="LUR48" s="159"/>
      <c r="LUS48" s="159"/>
      <c r="LUT48" s="159"/>
      <c r="LUU48" s="159"/>
      <c r="LUV48" s="159"/>
      <c r="LUW48" s="159"/>
      <c r="LUX48" s="159"/>
      <c r="LUY48" s="159"/>
      <c r="LUZ48" s="159"/>
      <c r="LVA48" s="159"/>
      <c r="LVB48" s="159"/>
      <c r="LVC48" s="159"/>
      <c r="LVD48" s="159"/>
      <c r="LVE48" s="159"/>
      <c r="LVF48" s="159"/>
      <c r="LVG48" s="159"/>
      <c r="LVH48" s="159"/>
      <c r="LVI48" s="159"/>
      <c r="LVJ48" s="159"/>
      <c r="LVK48" s="159"/>
      <c r="LVL48" s="159"/>
      <c r="LVM48" s="159"/>
      <c r="LVN48" s="159"/>
      <c r="LVO48" s="159"/>
      <c r="LVP48" s="159"/>
      <c r="LVQ48" s="159"/>
      <c r="LVR48" s="159"/>
      <c r="LVS48" s="159"/>
      <c r="LVT48" s="159"/>
      <c r="LVU48" s="159"/>
      <c r="LVV48" s="159"/>
      <c r="LVW48" s="159"/>
      <c r="LVX48" s="159"/>
      <c r="LVY48" s="159"/>
      <c r="LVZ48" s="159"/>
      <c r="LWA48" s="159"/>
      <c r="LWB48" s="159"/>
      <c r="LWC48" s="159"/>
      <c r="LWD48" s="159"/>
      <c r="LWE48" s="159"/>
      <c r="LWF48" s="159"/>
      <c r="LWG48" s="159"/>
      <c r="LWH48" s="159"/>
      <c r="LWI48" s="159"/>
      <c r="LWJ48" s="159"/>
      <c r="LWK48" s="159"/>
      <c r="LWL48" s="159"/>
      <c r="LWM48" s="159"/>
      <c r="LWN48" s="159"/>
      <c r="LWO48" s="159"/>
      <c r="LWP48" s="159"/>
      <c r="LWQ48" s="159"/>
      <c r="LWR48" s="159"/>
      <c r="LWS48" s="159"/>
      <c r="LWT48" s="159"/>
      <c r="LWU48" s="159"/>
      <c r="LWV48" s="159"/>
      <c r="LWW48" s="159"/>
      <c r="LWX48" s="159"/>
      <c r="LWY48" s="159"/>
      <c r="LWZ48" s="159"/>
      <c r="LXA48" s="159"/>
      <c r="LXB48" s="159"/>
      <c r="LXC48" s="159"/>
      <c r="LXD48" s="159"/>
      <c r="LXE48" s="159"/>
      <c r="LXF48" s="159"/>
      <c r="LXG48" s="159"/>
      <c r="LXH48" s="159"/>
      <c r="LXI48" s="159"/>
      <c r="LXJ48" s="159"/>
      <c r="LXK48" s="159"/>
      <c r="LXL48" s="159"/>
      <c r="LXM48" s="159"/>
      <c r="LXN48" s="159"/>
      <c r="LXO48" s="159"/>
      <c r="LXP48" s="159"/>
      <c r="LXQ48" s="159"/>
      <c r="LXR48" s="159"/>
      <c r="LXS48" s="159"/>
      <c r="LXT48" s="159"/>
      <c r="LXU48" s="159"/>
      <c r="LXV48" s="159"/>
      <c r="LXW48" s="159"/>
      <c r="LXX48" s="159"/>
      <c r="LXY48" s="159"/>
      <c r="LXZ48" s="159"/>
      <c r="LYA48" s="159"/>
      <c r="LYB48" s="159"/>
      <c r="LYC48" s="159"/>
      <c r="LYD48" s="159"/>
      <c r="LYE48" s="159"/>
      <c r="LYF48" s="159"/>
      <c r="LYG48" s="159"/>
      <c r="LYH48" s="159"/>
      <c r="LYI48" s="159"/>
      <c r="LYJ48" s="159"/>
      <c r="LYK48" s="159"/>
      <c r="LYL48" s="159"/>
      <c r="LYM48" s="159"/>
      <c r="LYN48" s="159"/>
      <c r="LYO48" s="159"/>
      <c r="LYP48" s="159"/>
      <c r="LYQ48" s="159"/>
      <c r="LYR48" s="159"/>
      <c r="LYS48" s="159"/>
      <c r="LYT48" s="159"/>
      <c r="LYU48" s="159"/>
      <c r="LYV48" s="159"/>
      <c r="LYW48" s="159"/>
      <c r="LYX48" s="159"/>
      <c r="LYY48" s="159"/>
      <c r="LYZ48" s="159"/>
      <c r="LZA48" s="159"/>
      <c r="LZB48" s="159"/>
      <c r="LZC48" s="159"/>
      <c r="LZD48" s="159"/>
      <c r="LZE48" s="159"/>
      <c r="LZF48" s="159"/>
      <c r="LZG48" s="159"/>
      <c r="LZH48" s="159"/>
      <c r="LZI48" s="159"/>
      <c r="LZJ48" s="159"/>
      <c r="LZK48" s="159"/>
      <c r="LZL48" s="159"/>
      <c r="LZM48" s="159"/>
      <c r="LZN48" s="159"/>
      <c r="LZO48" s="159"/>
      <c r="LZP48" s="159"/>
      <c r="LZQ48" s="159"/>
      <c r="LZR48" s="159"/>
      <c r="LZS48" s="159"/>
      <c r="LZT48" s="159"/>
      <c r="LZU48" s="159"/>
      <c r="LZV48" s="159"/>
      <c r="LZW48" s="159"/>
      <c r="LZX48" s="159"/>
      <c r="LZY48" s="159"/>
      <c r="LZZ48" s="159"/>
      <c r="MAA48" s="159"/>
      <c r="MAB48" s="159"/>
      <c r="MAC48" s="159"/>
      <c r="MAD48" s="159"/>
      <c r="MAE48" s="159"/>
      <c r="MAF48" s="159"/>
      <c r="MAG48" s="159"/>
      <c r="MAH48" s="159"/>
      <c r="MAI48" s="159"/>
      <c r="MAJ48" s="159"/>
      <c r="MAK48" s="159"/>
      <c r="MAL48" s="159"/>
      <c r="MAM48" s="159"/>
      <c r="MAN48" s="159"/>
      <c r="MAO48" s="159"/>
      <c r="MAP48" s="159"/>
      <c r="MAQ48" s="159"/>
      <c r="MAR48" s="159"/>
      <c r="MAS48" s="159"/>
      <c r="MAT48" s="159"/>
      <c r="MAU48" s="159"/>
      <c r="MAV48" s="159"/>
      <c r="MAW48" s="159"/>
      <c r="MAX48" s="159"/>
      <c r="MAY48" s="159"/>
      <c r="MAZ48" s="159"/>
      <c r="MBA48" s="159"/>
      <c r="MBB48" s="159"/>
      <c r="MBC48" s="159"/>
      <c r="MBD48" s="159"/>
      <c r="MBE48" s="159"/>
      <c r="MBF48" s="159"/>
      <c r="MBG48" s="159"/>
      <c r="MBH48" s="159"/>
      <c r="MBI48" s="159"/>
      <c r="MBJ48" s="159"/>
      <c r="MBK48" s="159"/>
      <c r="MBL48" s="159"/>
      <c r="MBM48" s="159"/>
      <c r="MBN48" s="159"/>
      <c r="MBO48" s="159"/>
      <c r="MBP48" s="159"/>
      <c r="MBQ48" s="159"/>
      <c r="MBR48" s="159"/>
      <c r="MBS48" s="159"/>
      <c r="MBT48" s="159"/>
      <c r="MBU48" s="159"/>
      <c r="MBV48" s="159"/>
      <c r="MBW48" s="159"/>
      <c r="MBX48" s="159"/>
      <c r="MBY48" s="159"/>
      <c r="MBZ48" s="159"/>
      <c r="MCA48" s="159"/>
      <c r="MCB48" s="159"/>
      <c r="MCC48" s="159"/>
      <c r="MCD48" s="159"/>
      <c r="MCE48" s="159"/>
      <c r="MCF48" s="159"/>
      <c r="MCG48" s="159"/>
      <c r="MCH48" s="159"/>
      <c r="MCI48" s="159"/>
      <c r="MCJ48" s="159"/>
      <c r="MCK48" s="159"/>
      <c r="MCL48" s="159"/>
      <c r="MCM48" s="159"/>
      <c r="MCN48" s="159"/>
      <c r="MCO48" s="159"/>
      <c r="MCP48" s="159"/>
      <c r="MCQ48" s="159"/>
      <c r="MCR48" s="159"/>
      <c r="MCS48" s="159"/>
      <c r="MCT48" s="159"/>
      <c r="MCU48" s="159"/>
      <c r="MCV48" s="159"/>
      <c r="MCW48" s="159"/>
      <c r="MCX48" s="159"/>
      <c r="MCY48" s="159"/>
      <c r="MCZ48" s="159"/>
      <c r="MDA48" s="159"/>
      <c r="MDB48" s="159"/>
      <c r="MDC48" s="159"/>
      <c r="MDD48" s="159"/>
      <c r="MDE48" s="159"/>
      <c r="MDF48" s="159"/>
      <c r="MDG48" s="159"/>
      <c r="MDH48" s="159"/>
      <c r="MDI48" s="159"/>
      <c r="MDJ48" s="159"/>
      <c r="MDK48" s="159"/>
      <c r="MDL48" s="159"/>
      <c r="MDM48" s="159"/>
      <c r="MDN48" s="159"/>
      <c r="MDO48" s="159"/>
      <c r="MDP48" s="159"/>
      <c r="MDQ48" s="159"/>
      <c r="MDR48" s="159"/>
      <c r="MDS48" s="159"/>
      <c r="MDT48" s="159"/>
      <c r="MDU48" s="159"/>
      <c r="MDV48" s="159"/>
      <c r="MDW48" s="159"/>
      <c r="MDX48" s="159"/>
      <c r="MDY48" s="159"/>
      <c r="MDZ48" s="159"/>
      <c r="MEA48" s="159"/>
      <c r="MEB48" s="159"/>
      <c r="MEC48" s="159"/>
      <c r="MED48" s="159"/>
      <c r="MEE48" s="159"/>
      <c r="MEF48" s="159"/>
      <c r="MEG48" s="159"/>
      <c r="MEH48" s="159"/>
      <c r="MEI48" s="159"/>
      <c r="MEJ48" s="159"/>
      <c r="MEK48" s="159"/>
      <c r="MEL48" s="159"/>
      <c r="MEM48" s="159"/>
      <c r="MEN48" s="159"/>
      <c r="MEO48" s="159"/>
      <c r="MEP48" s="159"/>
      <c r="MEQ48" s="159"/>
      <c r="MER48" s="159"/>
      <c r="MES48" s="159"/>
      <c r="MET48" s="159"/>
      <c r="MEU48" s="159"/>
      <c r="MEV48" s="159"/>
      <c r="MEW48" s="159"/>
      <c r="MEX48" s="159"/>
      <c r="MEY48" s="159"/>
      <c r="MEZ48" s="159"/>
      <c r="MFA48" s="159"/>
      <c r="MFB48" s="159"/>
      <c r="MFC48" s="159"/>
      <c r="MFD48" s="159"/>
      <c r="MFE48" s="159"/>
      <c r="MFF48" s="159"/>
      <c r="MFG48" s="159"/>
      <c r="MFH48" s="159"/>
      <c r="MFI48" s="159"/>
      <c r="MFJ48" s="159"/>
      <c r="MFK48" s="159"/>
      <c r="MFL48" s="159"/>
      <c r="MFM48" s="159"/>
      <c r="MFN48" s="159"/>
      <c r="MFO48" s="159"/>
      <c r="MFP48" s="159"/>
      <c r="MFQ48" s="159"/>
      <c r="MFR48" s="159"/>
      <c r="MFS48" s="159"/>
      <c r="MFT48" s="159"/>
      <c r="MFU48" s="159"/>
      <c r="MFV48" s="159"/>
      <c r="MFW48" s="159"/>
      <c r="MFX48" s="159"/>
      <c r="MFY48" s="159"/>
      <c r="MFZ48" s="159"/>
      <c r="MGA48" s="159"/>
      <c r="MGB48" s="159"/>
      <c r="MGC48" s="159"/>
      <c r="MGD48" s="159"/>
      <c r="MGE48" s="159"/>
      <c r="MGF48" s="159"/>
      <c r="MGG48" s="159"/>
      <c r="MGH48" s="159"/>
      <c r="MGI48" s="159"/>
      <c r="MGJ48" s="159"/>
      <c r="MGK48" s="159"/>
      <c r="MGL48" s="159"/>
      <c r="MGM48" s="159"/>
      <c r="MGN48" s="159"/>
      <c r="MGO48" s="159"/>
      <c r="MGP48" s="159"/>
      <c r="MGQ48" s="159"/>
      <c r="MGR48" s="159"/>
      <c r="MGS48" s="159"/>
      <c r="MGT48" s="159"/>
      <c r="MGU48" s="159"/>
      <c r="MGV48" s="159"/>
      <c r="MGW48" s="159"/>
      <c r="MGX48" s="159"/>
      <c r="MGY48" s="159"/>
      <c r="MGZ48" s="159"/>
      <c r="MHA48" s="159"/>
      <c r="MHB48" s="159"/>
      <c r="MHC48" s="159"/>
      <c r="MHD48" s="159"/>
      <c r="MHE48" s="159"/>
      <c r="MHF48" s="159"/>
      <c r="MHG48" s="159"/>
      <c r="MHH48" s="159"/>
      <c r="MHI48" s="159"/>
      <c r="MHJ48" s="159"/>
      <c r="MHK48" s="159"/>
      <c r="MHL48" s="159"/>
      <c r="MHM48" s="159"/>
      <c r="MHN48" s="159"/>
      <c r="MHO48" s="159"/>
      <c r="MHP48" s="159"/>
      <c r="MHQ48" s="159"/>
      <c r="MHR48" s="159"/>
      <c r="MHS48" s="159"/>
      <c r="MHT48" s="159"/>
      <c r="MHU48" s="159"/>
      <c r="MHV48" s="159"/>
      <c r="MHW48" s="159"/>
      <c r="MHX48" s="159"/>
      <c r="MHY48" s="159"/>
      <c r="MHZ48" s="159"/>
      <c r="MIA48" s="159"/>
      <c r="MIB48" s="159"/>
      <c r="MIC48" s="159"/>
      <c r="MID48" s="159"/>
      <c r="MIE48" s="159"/>
      <c r="MIF48" s="159"/>
      <c r="MIG48" s="159"/>
      <c r="MIH48" s="159"/>
      <c r="MII48" s="159"/>
      <c r="MIJ48" s="159"/>
      <c r="MIK48" s="159"/>
      <c r="MIL48" s="159"/>
      <c r="MIM48" s="159"/>
      <c r="MIN48" s="159"/>
      <c r="MIO48" s="159"/>
      <c r="MIP48" s="159"/>
      <c r="MIQ48" s="159"/>
      <c r="MIR48" s="159"/>
      <c r="MIS48" s="159"/>
      <c r="MIT48" s="159"/>
      <c r="MIU48" s="159"/>
      <c r="MIV48" s="159"/>
      <c r="MIW48" s="159"/>
      <c r="MIX48" s="159"/>
      <c r="MIY48" s="159"/>
      <c r="MIZ48" s="159"/>
      <c r="MJA48" s="159"/>
      <c r="MJB48" s="159"/>
      <c r="MJC48" s="159"/>
      <c r="MJD48" s="159"/>
      <c r="MJE48" s="159"/>
      <c r="MJF48" s="159"/>
      <c r="MJG48" s="159"/>
      <c r="MJH48" s="159"/>
      <c r="MJI48" s="159"/>
      <c r="MJJ48" s="159"/>
      <c r="MJK48" s="159"/>
      <c r="MJL48" s="159"/>
      <c r="MJM48" s="159"/>
      <c r="MJN48" s="159"/>
      <c r="MJO48" s="159"/>
      <c r="MJP48" s="159"/>
      <c r="MJQ48" s="159"/>
      <c r="MJR48" s="159"/>
      <c r="MJS48" s="159"/>
      <c r="MJT48" s="159"/>
      <c r="MJU48" s="159"/>
      <c r="MJV48" s="159"/>
      <c r="MJW48" s="159"/>
      <c r="MJX48" s="159"/>
      <c r="MJY48" s="159"/>
      <c r="MJZ48" s="159"/>
      <c r="MKA48" s="159"/>
      <c r="MKB48" s="159"/>
      <c r="MKC48" s="159"/>
      <c r="MKD48" s="159"/>
      <c r="MKE48" s="159"/>
      <c r="MKF48" s="159"/>
      <c r="MKG48" s="159"/>
      <c r="MKH48" s="159"/>
      <c r="MKI48" s="159"/>
      <c r="MKJ48" s="159"/>
      <c r="MKK48" s="159"/>
      <c r="MKL48" s="159"/>
      <c r="MKM48" s="159"/>
      <c r="MKN48" s="159"/>
      <c r="MKO48" s="159"/>
      <c r="MKP48" s="159"/>
      <c r="MKQ48" s="159"/>
      <c r="MKR48" s="159"/>
      <c r="MKS48" s="159"/>
      <c r="MKT48" s="159"/>
      <c r="MKU48" s="159"/>
      <c r="MKV48" s="159"/>
      <c r="MKW48" s="159"/>
      <c r="MKX48" s="159"/>
      <c r="MKY48" s="159"/>
      <c r="MKZ48" s="159"/>
      <c r="MLA48" s="159"/>
      <c r="MLB48" s="159"/>
      <c r="MLC48" s="159"/>
      <c r="MLD48" s="159"/>
      <c r="MLE48" s="159"/>
      <c r="MLF48" s="159"/>
      <c r="MLG48" s="159"/>
      <c r="MLH48" s="159"/>
      <c r="MLI48" s="159"/>
      <c r="MLJ48" s="159"/>
      <c r="MLK48" s="159"/>
      <c r="MLL48" s="159"/>
      <c r="MLM48" s="159"/>
      <c r="MLN48" s="159"/>
      <c r="MLO48" s="159"/>
      <c r="MLP48" s="159"/>
      <c r="MLQ48" s="159"/>
      <c r="MLR48" s="159"/>
      <c r="MLS48" s="159"/>
      <c r="MLT48" s="159"/>
      <c r="MLU48" s="159"/>
      <c r="MLV48" s="159"/>
      <c r="MLW48" s="159"/>
      <c r="MLX48" s="159"/>
      <c r="MLY48" s="159"/>
      <c r="MLZ48" s="159"/>
      <c r="MMA48" s="159"/>
      <c r="MMB48" s="159"/>
      <c r="MMC48" s="159"/>
      <c r="MMD48" s="159"/>
      <c r="MME48" s="159"/>
      <c r="MMF48" s="159"/>
      <c r="MMG48" s="159"/>
      <c r="MMH48" s="159"/>
      <c r="MMI48" s="159"/>
      <c r="MMJ48" s="159"/>
      <c r="MMK48" s="159"/>
      <c r="MML48" s="159"/>
      <c r="MMM48" s="159"/>
      <c r="MMN48" s="159"/>
      <c r="MMO48" s="159"/>
      <c r="MMP48" s="159"/>
      <c r="MMQ48" s="159"/>
      <c r="MMR48" s="159"/>
      <c r="MMS48" s="159"/>
      <c r="MMT48" s="159"/>
      <c r="MMU48" s="159"/>
      <c r="MMV48" s="159"/>
      <c r="MMW48" s="159"/>
      <c r="MMX48" s="159"/>
      <c r="MMY48" s="159"/>
      <c r="MMZ48" s="159"/>
      <c r="MNA48" s="159"/>
      <c r="MNB48" s="159"/>
      <c r="MNC48" s="159"/>
      <c r="MND48" s="159"/>
      <c r="MNE48" s="159"/>
      <c r="MNF48" s="159"/>
      <c r="MNG48" s="159"/>
      <c r="MNH48" s="159"/>
      <c r="MNI48" s="159"/>
      <c r="MNJ48" s="159"/>
      <c r="MNK48" s="159"/>
      <c r="MNL48" s="159"/>
      <c r="MNM48" s="159"/>
      <c r="MNN48" s="159"/>
      <c r="MNO48" s="159"/>
      <c r="MNP48" s="159"/>
      <c r="MNQ48" s="159"/>
      <c r="MNR48" s="159"/>
      <c r="MNS48" s="159"/>
      <c r="MNT48" s="159"/>
      <c r="MNU48" s="159"/>
      <c r="MNV48" s="159"/>
      <c r="MNW48" s="159"/>
      <c r="MNX48" s="159"/>
      <c r="MNY48" s="159"/>
      <c r="MNZ48" s="159"/>
      <c r="MOA48" s="159"/>
      <c r="MOB48" s="159"/>
      <c r="MOC48" s="159"/>
      <c r="MOD48" s="159"/>
      <c r="MOE48" s="159"/>
      <c r="MOF48" s="159"/>
      <c r="MOG48" s="159"/>
      <c r="MOH48" s="159"/>
      <c r="MOI48" s="159"/>
      <c r="MOJ48" s="159"/>
      <c r="MOK48" s="159"/>
      <c r="MOL48" s="159"/>
      <c r="MOM48" s="159"/>
      <c r="MON48" s="159"/>
      <c r="MOO48" s="159"/>
      <c r="MOP48" s="159"/>
      <c r="MOQ48" s="159"/>
      <c r="MOR48" s="159"/>
      <c r="MOS48" s="159"/>
      <c r="MOT48" s="159"/>
      <c r="MOU48" s="159"/>
      <c r="MOV48" s="159"/>
      <c r="MOW48" s="159"/>
      <c r="MOX48" s="159"/>
      <c r="MOY48" s="159"/>
      <c r="MOZ48" s="159"/>
      <c r="MPA48" s="159"/>
      <c r="MPB48" s="159"/>
      <c r="MPC48" s="159"/>
      <c r="MPD48" s="159"/>
      <c r="MPE48" s="159"/>
      <c r="MPF48" s="159"/>
      <c r="MPG48" s="159"/>
      <c r="MPH48" s="159"/>
      <c r="MPI48" s="159"/>
      <c r="MPJ48" s="159"/>
      <c r="MPK48" s="159"/>
      <c r="MPL48" s="159"/>
      <c r="MPM48" s="159"/>
      <c r="MPN48" s="159"/>
      <c r="MPO48" s="159"/>
      <c r="MPP48" s="159"/>
      <c r="MPQ48" s="159"/>
      <c r="MPR48" s="159"/>
      <c r="MPS48" s="159"/>
      <c r="MPT48" s="159"/>
      <c r="MPU48" s="159"/>
      <c r="MPV48" s="159"/>
      <c r="MPW48" s="159"/>
      <c r="MPX48" s="159"/>
      <c r="MPY48" s="159"/>
      <c r="MPZ48" s="159"/>
      <c r="MQA48" s="159"/>
      <c r="MQB48" s="159"/>
      <c r="MQC48" s="159"/>
      <c r="MQD48" s="159"/>
      <c r="MQE48" s="159"/>
      <c r="MQF48" s="159"/>
      <c r="MQG48" s="159"/>
      <c r="MQH48" s="159"/>
      <c r="MQI48" s="159"/>
      <c r="MQJ48" s="159"/>
      <c r="MQK48" s="159"/>
      <c r="MQL48" s="159"/>
      <c r="MQM48" s="159"/>
      <c r="MQN48" s="159"/>
      <c r="MQO48" s="159"/>
      <c r="MQP48" s="159"/>
      <c r="MQQ48" s="159"/>
      <c r="MQR48" s="159"/>
      <c r="MQS48" s="159"/>
      <c r="MQT48" s="159"/>
      <c r="MQU48" s="159"/>
      <c r="MQV48" s="159"/>
      <c r="MQW48" s="159"/>
      <c r="MQX48" s="159"/>
      <c r="MQY48" s="159"/>
      <c r="MQZ48" s="159"/>
      <c r="MRA48" s="159"/>
      <c r="MRB48" s="159"/>
      <c r="MRC48" s="159"/>
      <c r="MRD48" s="159"/>
      <c r="MRE48" s="159"/>
      <c r="MRF48" s="159"/>
      <c r="MRG48" s="159"/>
      <c r="MRH48" s="159"/>
      <c r="MRI48" s="159"/>
      <c r="MRJ48" s="159"/>
      <c r="MRK48" s="159"/>
      <c r="MRL48" s="159"/>
      <c r="MRM48" s="159"/>
      <c r="MRN48" s="159"/>
      <c r="MRO48" s="159"/>
      <c r="MRP48" s="159"/>
      <c r="MRQ48" s="159"/>
      <c r="MRR48" s="159"/>
      <c r="MRS48" s="159"/>
      <c r="MRT48" s="159"/>
      <c r="MRU48" s="159"/>
      <c r="MRV48" s="159"/>
      <c r="MRW48" s="159"/>
      <c r="MRX48" s="159"/>
      <c r="MRY48" s="159"/>
      <c r="MRZ48" s="159"/>
      <c r="MSA48" s="159"/>
      <c r="MSB48" s="159"/>
      <c r="MSC48" s="159"/>
      <c r="MSD48" s="159"/>
      <c r="MSE48" s="159"/>
      <c r="MSF48" s="159"/>
      <c r="MSG48" s="159"/>
      <c r="MSH48" s="159"/>
      <c r="MSI48" s="159"/>
      <c r="MSJ48" s="159"/>
      <c r="MSK48" s="159"/>
      <c r="MSL48" s="159"/>
      <c r="MSM48" s="159"/>
      <c r="MSN48" s="159"/>
      <c r="MSO48" s="159"/>
      <c r="MSP48" s="159"/>
      <c r="MSQ48" s="159"/>
      <c r="MSR48" s="159"/>
      <c r="MSS48" s="159"/>
      <c r="MST48" s="159"/>
      <c r="MSU48" s="159"/>
      <c r="MSV48" s="159"/>
      <c r="MSW48" s="159"/>
      <c r="MSX48" s="159"/>
      <c r="MSY48" s="159"/>
      <c r="MSZ48" s="159"/>
      <c r="MTA48" s="159"/>
      <c r="MTB48" s="159"/>
      <c r="MTC48" s="159"/>
      <c r="MTD48" s="159"/>
      <c r="MTE48" s="159"/>
      <c r="MTF48" s="159"/>
      <c r="MTG48" s="159"/>
      <c r="MTH48" s="159"/>
      <c r="MTI48" s="159"/>
      <c r="MTJ48" s="159"/>
      <c r="MTK48" s="159"/>
      <c r="MTL48" s="159"/>
      <c r="MTM48" s="159"/>
      <c r="MTN48" s="159"/>
      <c r="MTO48" s="159"/>
      <c r="MTP48" s="159"/>
      <c r="MTQ48" s="159"/>
      <c r="MTR48" s="159"/>
      <c r="MTS48" s="159"/>
      <c r="MTT48" s="159"/>
      <c r="MTU48" s="159"/>
      <c r="MTV48" s="159"/>
      <c r="MTW48" s="159"/>
      <c r="MTX48" s="159"/>
      <c r="MTY48" s="159"/>
      <c r="MTZ48" s="159"/>
      <c r="MUA48" s="159"/>
      <c r="MUB48" s="159"/>
      <c r="MUC48" s="159"/>
      <c r="MUD48" s="159"/>
      <c r="MUE48" s="159"/>
      <c r="MUF48" s="159"/>
      <c r="MUG48" s="159"/>
      <c r="MUH48" s="159"/>
      <c r="MUI48" s="159"/>
      <c r="MUJ48" s="159"/>
      <c r="MUK48" s="159"/>
      <c r="MUL48" s="159"/>
      <c r="MUM48" s="159"/>
      <c r="MUN48" s="159"/>
      <c r="MUO48" s="159"/>
      <c r="MUP48" s="159"/>
      <c r="MUQ48" s="159"/>
      <c r="MUR48" s="159"/>
      <c r="MUS48" s="159"/>
      <c r="MUT48" s="159"/>
      <c r="MUU48" s="159"/>
      <c r="MUV48" s="159"/>
      <c r="MUW48" s="159"/>
      <c r="MUX48" s="159"/>
      <c r="MUY48" s="159"/>
      <c r="MUZ48" s="159"/>
      <c r="MVA48" s="159"/>
      <c r="MVB48" s="159"/>
      <c r="MVC48" s="159"/>
      <c r="MVD48" s="159"/>
      <c r="MVE48" s="159"/>
      <c r="MVF48" s="159"/>
      <c r="MVG48" s="159"/>
      <c r="MVH48" s="159"/>
      <c r="MVI48" s="159"/>
      <c r="MVJ48" s="159"/>
      <c r="MVK48" s="159"/>
      <c r="MVL48" s="159"/>
      <c r="MVM48" s="159"/>
      <c r="MVN48" s="159"/>
      <c r="MVO48" s="159"/>
      <c r="MVP48" s="159"/>
      <c r="MVQ48" s="159"/>
      <c r="MVR48" s="159"/>
      <c r="MVS48" s="159"/>
      <c r="MVT48" s="159"/>
      <c r="MVU48" s="159"/>
      <c r="MVV48" s="159"/>
      <c r="MVW48" s="159"/>
      <c r="MVX48" s="159"/>
      <c r="MVY48" s="159"/>
      <c r="MVZ48" s="159"/>
      <c r="MWA48" s="159"/>
      <c r="MWB48" s="159"/>
      <c r="MWC48" s="159"/>
      <c r="MWD48" s="159"/>
      <c r="MWE48" s="159"/>
      <c r="MWF48" s="159"/>
      <c r="MWG48" s="159"/>
      <c r="MWH48" s="159"/>
      <c r="MWI48" s="159"/>
      <c r="MWJ48" s="159"/>
      <c r="MWK48" s="159"/>
      <c r="MWL48" s="159"/>
      <c r="MWM48" s="159"/>
      <c r="MWN48" s="159"/>
      <c r="MWO48" s="159"/>
      <c r="MWP48" s="159"/>
      <c r="MWQ48" s="159"/>
      <c r="MWR48" s="159"/>
      <c r="MWS48" s="159"/>
      <c r="MWT48" s="159"/>
      <c r="MWU48" s="159"/>
      <c r="MWV48" s="159"/>
      <c r="MWW48" s="159"/>
      <c r="MWX48" s="159"/>
      <c r="MWY48" s="159"/>
      <c r="MWZ48" s="159"/>
      <c r="MXA48" s="159"/>
      <c r="MXB48" s="159"/>
      <c r="MXC48" s="159"/>
      <c r="MXD48" s="159"/>
      <c r="MXE48" s="159"/>
      <c r="MXF48" s="159"/>
      <c r="MXG48" s="159"/>
      <c r="MXH48" s="159"/>
      <c r="MXI48" s="159"/>
      <c r="MXJ48" s="159"/>
      <c r="MXK48" s="159"/>
      <c r="MXL48" s="159"/>
      <c r="MXM48" s="159"/>
      <c r="MXN48" s="159"/>
      <c r="MXO48" s="159"/>
      <c r="MXP48" s="159"/>
      <c r="MXQ48" s="159"/>
      <c r="MXR48" s="159"/>
      <c r="MXS48" s="159"/>
      <c r="MXT48" s="159"/>
      <c r="MXU48" s="159"/>
      <c r="MXV48" s="159"/>
      <c r="MXW48" s="159"/>
      <c r="MXX48" s="159"/>
      <c r="MXY48" s="159"/>
      <c r="MXZ48" s="159"/>
      <c r="MYA48" s="159"/>
      <c r="MYB48" s="159"/>
      <c r="MYC48" s="159"/>
      <c r="MYD48" s="159"/>
      <c r="MYE48" s="159"/>
      <c r="MYF48" s="159"/>
      <c r="MYG48" s="159"/>
      <c r="MYH48" s="159"/>
      <c r="MYI48" s="159"/>
      <c r="MYJ48" s="159"/>
      <c r="MYK48" s="159"/>
      <c r="MYL48" s="159"/>
      <c r="MYM48" s="159"/>
      <c r="MYN48" s="159"/>
      <c r="MYO48" s="159"/>
      <c r="MYP48" s="159"/>
      <c r="MYQ48" s="159"/>
      <c r="MYR48" s="159"/>
      <c r="MYS48" s="159"/>
      <c r="MYT48" s="159"/>
      <c r="MYU48" s="159"/>
      <c r="MYV48" s="159"/>
      <c r="MYW48" s="159"/>
      <c r="MYX48" s="159"/>
      <c r="MYY48" s="159"/>
      <c r="MYZ48" s="159"/>
      <c r="MZA48" s="159"/>
      <c r="MZB48" s="159"/>
      <c r="MZC48" s="159"/>
      <c r="MZD48" s="159"/>
      <c r="MZE48" s="159"/>
      <c r="MZF48" s="159"/>
      <c r="MZG48" s="159"/>
      <c r="MZH48" s="159"/>
      <c r="MZI48" s="159"/>
      <c r="MZJ48" s="159"/>
      <c r="MZK48" s="159"/>
      <c r="MZL48" s="159"/>
      <c r="MZM48" s="159"/>
      <c r="MZN48" s="159"/>
      <c r="MZO48" s="159"/>
      <c r="MZP48" s="159"/>
      <c r="MZQ48" s="159"/>
      <c r="MZR48" s="159"/>
      <c r="MZS48" s="159"/>
      <c r="MZT48" s="159"/>
      <c r="MZU48" s="159"/>
      <c r="MZV48" s="159"/>
      <c r="MZW48" s="159"/>
      <c r="MZX48" s="159"/>
      <c r="MZY48" s="159"/>
      <c r="MZZ48" s="159"/>
      <c r="NAA48" s="159"/>
      <c r="NAB48" s="159"/>
      <c r="NAC48" s="159"/>
      <c r="NAD48" s="159"/>
      <c r="NAE48" s="159"/>
      <c r="NAF48" s="159"/>
      <c r="NAG48" s="159"/>
      <c r="NAH48" s="159"/>
      <c r="NAI48" s="159"/>
      <c r="NAJ48" s="159"/>
      <c r="NAK48" s="159"/>
      <c r="NAL48" s="159"/>
      <c r="NAM48" s="159"/>
      <c r="NAN48" s="159"/>
      <c r="NAO48" s="159"/>
      <c r="NAP48" s="159"/>
      <c r="NAQ48" s="159"/>
      <c r="NAR48" s="159"/>
      <c r="NAS48" s="159"/>
      <c r="NAT48" s="159"/>
      <c r="NAU48" s="159"/>
      <c r="NAV48" s="159"/>
      <c r="NAW48" s="159"/>
      <c r="NAX48" s="159"/>
      <c r="NAY48" s="159"/>
      <c r="NAZ48" s="159"/>
      <c r="NBA48" s="159"/>
      <c r="NBB48" s="159"/>
      <c r="NBC48" s="159"/>
      <c r="NBD48" s="159"/>
      <c r="NBE48" s="159"/>
      <c r="NBF48" s="159"/>
      <c r="NBG48" s="159"/>
      <c r="NBH48" s="159"/>
      <c r="NBI48" s="159"/>
      <c r="NBJ48" s="159"/>
      <c r="NBK48" s="159"/>
      <c r="NBL48" s="159"/>
      <c r="NBM48" s="159"/>
      <c r="NBN48" s="159"/>
      <c r="NBO48" s="159"/>
      <c r="NBP48" s="159"/>
      <c r="NBQ48" s="159"/>
      <c r="NBR48" s="159"/>
      <c r="NBS48" s="159"/>
      <c r="NBT48" s="159"/>
      <c r="NBU48" s="159"/>
      <c r="NBV48" s="159"/>
      <c r="NBW48" s="159"/>
      <c r="NBX48" s="159"/>
      <c r="NBY48" s="159"/>
      <c r="NBZ48" s="159"/>
      <c r="NCA48" s="159"/>
      <c r="NCB48" s="159"/>
      <c r="NCC48" s="159"/>
      <c r="NCD48" s="159"/>
      <c r="NCE48" s="159"/>
      <c r="NCF48" s="159"/>
      <c r="NCG48" s="159"/>
      <c r="NCH48" s="159"/>
      <c r="NCI48" s="159"/>
      <c r="NCJ48" s="159"/>
      <c r="NCK48" s="159"/>
      <c r="NCL48" s="159"/>
      <c r="NCM48" s="159"/>
      <c r="NCN48" s="159"/>
      <c r="NCO48" s="159"/>
      <c r="NCP48" s="159"/>
      <c r="NCQ48" s="159"/>
      <c r="NCR48" s="159"/>
      <c r="NCS48" s="159"/>
      <c r="NCT48" s="159"/>
      <c r="NCU48" s="159"/>
      <c r="NCV48" s="159"/>
      <c r="NCW48" s="159"/>
      <c r="NCX48" s="159"/>
      <c r="NCY48" s="159"/>
      <c r="NCZ48" s="159"/>
      <c r="NDA48" s="159"/>
      <c r="NDB48" s="159"/>
      <c r="NDC48" s="159"/>
      <c r="NDD48" s="159"/>
      <c r="NDE48" s="159"/>
      <c r="NDF48" s="159"/>
      <c r="NDG48" s="159"/>
      <c r="NDH48" s="159"/>
      <c r="NDI48" s="159"/>
      <c r="NDJ48" s="159"/>
      <c r="NDK48" s="159"/>
      <c r="NDL48" s="159"/>
      <c r="NDM48" s="159"/>
      <c r="NDN48" s="159"/>
      <c r="NDO48" s="159"/>
      <c r="NDP48" s="159"/>
      <c r="NDQ48" s="159"/>
      <c r="NDR48" s="159"/>
      <c r="NDS48" s="159"/>
      <c r="NDT48" s="159"/>
      <c r="NDU48" s="159"/>
      <c r="NDV48" s="159"/>
      <c r="NDW48" s="159"/>
      <c r="NDX48" s="159"/>
      <c r="NDY48" s="159"/>
      <c r="NDZ48" s="159"/>
      <c r="NEA48" s="159"/>
      <c r="NEB48" s="159"/>
      <c r="NEC48" s="159"/>
      <c r="NED48" s="159"/>
      <c r="NEE48" s="159"/>
      <c r="NEF48" s="159"/>
      <c r="NEG48" s="159"/>
      <c r="NEH48" s="159"/>
      <c r="NEI48" s="159"/>
      <c r="NEJ48" s="159"/>
      <c r="NEK48" s="159"/>
      <c r="NEL48" s="159"/>
      <c r="NEM48" s="159"/>
      <c r="NEN48" s="159"/>
      <c r="NEO48" s="159"/>
      <c r="NEP48" s="159"/>
      <c r="NEQ48" s="159"/>
      <c r="NER48" s="159"/>
      <c r="NES48" s="159"/>
      <c r="NET48" s="159"/>
      <c r="NEU48" s="159"/>
      <c r="NEV48" s="159"/>
      <c r="NEW48" s="159"/>
      <c r="NEX48" s="159"/>
      <c r="NEY48" s="159"/>
      <c r="NEZ48" s="159"/>
      <c r="NFA48" s="159"/>
      <c r="NFB48" s="159"/>
      <c r="NFC48" s="159"/>
      <c r="NFD48" s="159"/>
      <c r="NFE48" s="159"/>
      <c r="NFF48" s="159"/>
      <c r="NFG48" s="159"/>
      <c r="NFH48" s="159"/>
      <c r="NFI48" s="159"/>
      <c r="NFJ48" s="159"/>
      <c r="NFK48" s="159"/>
      <c r="NFL48" s="159"/>
      <c r="NFM48" s="159"/>
      <c r="NFN48" s="159"/>
      <c r="NFO48" s="159"/>
      <c r="NFP48" s="159"/>
      <c r="NFQ48" s="159"/>
      <c r="NFR48" s="159"/>
      <c r="NFS48" s="159"/>
      <c r="NFT48" s="159"/>
      <c r="NFU48" s="159"/>
      <c r="NFV48" s="159"/>
      <c r="NFW48" s="159"/>
      <c r="NFX48" s="159"/>
      <c r="NFY48" s="159"/>
      <c r="NFZ48" s="159"/>
      <c r="NGA48" s="159"/>
      <c r="NGB48" s="159"/>
      <c r="NGC48" s="159"/>
      <c r="NGD48" s="159"/>
      <c r="NGE48" s="159"/>
      <c r="NGF48" s="159"/>
      <c r="NGG48" s="159"/>
      <c r="NGH48" s="159"/>
      <c r="NGI48" s="159"/>
      <c r="NGJ48" s="159"/>
      <c r="NGK48" s="159"/>
      <c r="NGL48" s="159"/>
      <c r="NGM48" s="159"/>
      <c r="NGN48" s="159"/>
      <c r="NGO48" s="159"/>
      <c r="NGP48" s="159"/>
      <c r="NGQ48" s="159"/>
      <c r="NGR48" s="159"/>
      <c r="NGS48" s="159"/>
      <c r="NGT48" s="159"/>
      <c r="NGU48" s="159"/>
      <c r="NGV48" s="159"/>
      <c r="NGW48" s="159"/>
      <c r="NGX48" s="159"/>
      <c r="NGY48" s="159"/>
      <c r="NGZ48" s="159"/>
      <c r="NHA48" s="159"/>
      <c r="NHB48" s="159"/>
      <c r="NHC48" s="159"/>
      <c r="NHD48" s="159"/>
      <c r="NHE48" s="159"/>
      <c r="NHF48" s="159"/>
      <c r="NHG48" s="159"/>
      <c r="NHH48" s="159"/>
      <c r="NHI48" s="159"/>
      <c r="NHJ48" s="159"/>
      <c r="NHK48" s="159"/>
      <c r="NHL48" s="159"/>
      <c r="NHM48" s="159"/>
      <c r="NHN48" s="159"/>
      <c r="NHO48" s="159"/>
      <c r="NHP48" s="159"/>
      <c r="NHQ48" s="159"/>
      <c r="NHR48" s="159"/>
      <c r="NHS48" s="159"/>
      <c r="NHT48" s="159"/>
      <c r="NHU48" s="159"/>
      <c r="NHV48" s="159"/>
      <c r="NHW48" s="159"/>
      <c r="NHX48" s="159"/>
      <c r="NHY48" s="159"/>
      <c r="NHZ48" s="159"/>
      <c r="NIA48" s="159"/>
      <c r="NIB48" s="159"/>
      <c r="NIC48" s="159"/>
      <c r="NID48" s="159"/>
      <c r="NIE48" s="159"/>
      <c r="NIF48" s="159"/>
      <c r="NIG48" s="159"/>
      <c r="NIH48" s="159"/>
      <c r="NII48" s="159"/>
      <c r="NIJ48" s="159"/>
      <c r="NIK48" s="159"/>
      <c r="NIL48" s="159"/>
      <c r="NIM48" s="159"/>
      <c r="NIN48" s="159"/>
      <c r="NIO48" s="159"/>
      <c r="NIP48" s="159"/>
      <c r="NIQ48" s="159"/>
      <c r="NIR48" s="159"/>
      <c r="NIS48" s="159"/>
      <c r="NIT48" s="159"/>
      <c r="NIU48" s="159"/>
      <c r="NIV48" s="159"/>
      <c r="NIW48" s="159"/>
      <c r="NIX48" s="159"/>
      <c r="NIY48" s="159"/>
      <c r="NIZ48" s="159"/>
      <c r="NJA48" s="159"/>
      <c r="NJB48" s="159"/>
      <c r="NJC48" s="159"/>
      <c r="NJD48" s="159"/>
      <c r="NJE48" s="159"/>
      <c r="NJF48" s="159"/>
      <c r="NJG48" s="159"/>
      <c r="NJH48" s="159"/>
      <c r="NJI48" s="159"/>
      <c r="NJJ48" s="159"/>
      <c r="NJK48" s="159"/>
      <c r="NJL48" s="159"/>
      <c r="NJM48" s="159"/>
      <c r="NJN48" s="159"/>
      <c r="NJO48" s="159"/>
      <c r="NJP48" s="159"/>
      <c r="NJQ48" s="159"/>
      <c r="NJR48" s="159"/>
      <c r="NJS48" s="159"/>
      <c r="NJT48" s="159"/>
      <c r="NJU48" s="159"/>
      <c r="NJV48" s="159"/>
      <c r="NJW48" s="159"/>
      <c r="NJX48" s="159"/>
      <c r="NJY48" s="159"/>
      <c r="NJZ48" s="159"/>
      <c r="NKA48" s="159"/>
      <c r="NKB48" s="159"/>
      <c r="NKC48" s="159"/>
      <c r="NKD48" s="159"/>
      <c r="NKE48" s="159"/>
      <c r="NKF48" s="159"/>
      <c r="NKG48" s="159"/>
      <c r="NKH48" s="159"/>
      <c r="NKI48" s="159"/>
      <c r="NKJ48" s="159"/>
      <c r="NKK48" s="159"/>
      <c r="NKL48" s="159"/>
      <c r="NKM48" s="159"/>
      <c r="NKN48" s="159"/>
      <c r="NKO48" s="159"/>
      <c r="NKP48" s="159"/>
      <c r="NKQ48" s="159"/>
      <c r="NKR48" s="159"/>
      <c r="NKS48" s="159"/>
      <c r="NKT48" s="159"/>
      <c r="NKU48" s="159"/>
      <c r="NKV48" s="159"/>
      <c r="NKW48" s="159"/>
      <c r="NKX48" s="159"/>
      <c r="NKY48" s="159"/>
      <c r="NKZ48" s="159"/>
      <c r="NLA48" s="159"/>
      <c r="NLB48" s="159"/>
      <c r="NLC48" s="159"/>
      <c r="NLD48" s="159"/>
      <c r="NLE48" s="159"/>
      <c r="NLF48" s="159"/>
      <c r="NLG48" s="159"/>
      <c r="NLH48" s="159"/>
      <c r="NLI48" s="159"/>
      <c r="NLJ48" s="159"/>
      <c r="NLK48" s="159"/>
      <c r="NLL48" s="159"/>
      <c r="NLM48" s="159"/>
      <c r="NLN48" s="159"/>
      <c r="NLO48" s="159"/>
      <c r="NLP48" s="159"/>
      <c r="NLQ48" s="159"/>
      <c r="NLR48" s="159"/>
      <c r="NLS48" s="159"/>
      <c r="NLT48" s="159"/>
      <c r="NLU48" s="159"/>
      <c r="NLV48" s="159"/>
      <c r="NLW48" s="159"/>
      <c r="NLX48" s="159"/>
      <c r="NLY48" s="159"/>
      <c r="NLZ48" s="159"/>
      <c r="NMA48" s="159"/>
      <c r="NMB48" s="159"/>
      <c r="NMC48" s="159"/>
      <c r="NMD48" s="159"/>
      <c r="NME48" s="159"/>
      <c r="NMF48" s="159"/>
      <c r="NMG48" s="159"/>
      <c r="NMH48" s="159"/>
      <c r="NMI48" s="159"/>
      <c r="NMJ48" s="159"/>
      <c r="NMK48" s="159"/>
      <c r="NML48" s="159"/>
      <c r="NMM48" s="159"/>
      <c r="NMN48" s="159"/>
      <c r="NMO48" s="159"/>
      <c r="NMP48" s="159"/>
      <c r="NMQ48" s="159"/>
      <c r="NMR48" s="159"/>
      <c r="NMS48" s="159"/>
      <c r="NMT48" s="159"/>
      <c r="NMU48" s="159"/>
      <c r="NMV48" s="159"/>
      <c r="NMW48" s="159"/>
      <c r="NMX48" s="159"/>
      <c r="NMY48" s="159"/>
      <c r="NMZ48" s="159"/>
      <c r="NNA48" s="159"/>
      <c r="NNB48" s="159"/>
      <c r="NNC48" s="159"/>
      <c r="NND48" s="159"/>
      <c r="NNE48" s="159"/>
      <c r="NNF48" s="159"/>
      <c r="NNG48" s="159"/>
      <c r="NNH48" s="159"/>
      <c r="NNI48" s="159"/>
      <c r="NNJ48" s="159"/>
      <c r="NNK48" s="159"/>
      <c r="NNL48" s="159"/>
      <c r="NNM48" s="159"/>
      <c r="NNN48" s="159"/>
      <c r="NNO48" s="159"/>
      <c r="NNP48" s="159"/>
      <c r="NNQ48" s="159"/>
      <c r="NNR48" s="159"/>
      <c r="NNS48" s="159"/>
      <c r="NNT48" s="159"/>
      <c r="NNU48" s="159"/>
      <c r="NNV48" s="159"/>
      <c r="NNW48" s="159"/>
      <c r="NNX48" s="159"/>
      <c r="NNY48" s="159"/>
      <c r="NNZ48" s="159"/>
      <c r="NOA48" s="159"/>
      <c r="NOB48" s="159"/>
      <c r="NOC48" s="159"/>
      <c r="NOD48" s="159"/>
      <c r="NOE48" s="159"/>
      <c r="NOF48" s="159"/>
      <c r="NOG48" s="159"/>
      <c r="NOH48" s="159"/>
      <c r="NOI48" s="159"/>
      <c r="NOJ48" s="159"/>
      <c r="NOK48" s="159"/>
      <c r="NOL48" s="159"/>
      <c r="NOM48" s="159"/>
      <c r="NON48" s="159"/>
      <c r="NOO48" s="159"/>
      <c r="NOP48" s="159"/>
      <c r="NOQ48" s="159"/>
      <c r="NOR48" s="159"/>
      <c r="NOS48" s="159"/>
      <c r="NOT48" s="159"/>
      <c r="NOU48" s="159"/>
      <c r="NOV48" s="159"/>
      <c r="NOW48" s="159"/>
      <c r="NOX48" s="159"/>
      <c r="NOY48" s="159"/>
      <c r="NOZ48" s="159"/>
      <c r="NPA48" s="159"/>
      <c r="NPB48" s="159"/>
      <c r="NPC48" s="159"/>
      <c r="NPD48" s="159"/>
      <c r="NPE48" s="159"/>
      <c r="NPF48" s="159"/>
      <c r="NPG48" s="159"/>
      <c r="NPH48" s="159"/>
      <c r="NPI48" s="159"/>
      <c r="NPJ48" s="159"/>
      <c r="NPK48" s="159"/>
      <c r="NPL48" s="159"/>
      <c r="NPM48" s="159"/>
      <c r="NPN48" s="159"/>
      <c r="NPO48" s="159"/>
      <c r="NPP48" s="159"/>
      <c r="NPQ48" s="159"/>
      <c r="NPR48" s="159"/>
      <c r="NPS48" s="159"/>
      <c r="NPT48" s="159"/>
      <c r="NPU48" s="159"/>
      <c r="NPV48" s="159"/>
      <c r="NPW48" s="159"/>
      <c r="NPX48" s="159"/>
      <c r="NPY48" s="159"/>
      <c r="NPZ48" s="159"/>
      <c r="NQA48" s="159"/>
      <c r="NQB48" s="159"/>
      <c r="NQC48" s="159"/>
      <c r="NQD48" s="159"/>
      <c r="NQE48" s="159"/>
      <c r="NQF48" s="159"/>
      <c r="NQG48" s="159"/>
      <c r="NQH48" s="159"/>
      <c r="NQI48" s="159"/>
      <c r="NQJ48" s="159"/>
      <c r="NQK48" s="159"/>
      <c r="NQL48" s="159"/>
      <c r="NQM48" s="159"/>
      <c r="NQN48" s="159"/>
      <c r="NQO48" s="159"/>
      <c r="NQP48" s="159"/>
      <c r="NQQ48" s="159"/>
      <c r="NQR48" s="159"/>
      <c r="NQS48" s="159"/>
      <c r="NQT48" s="159"/>
      <c r="NQU48" s="159"/>
      <c r="NQV48" s="159"/>
      <c r="NQW48" s="159"/>
      <c r="NQX48" s="159"/>
      <c r="NQY48" s="159"/>
      <c r="NQZ48" s="159"/>
      <c r="NRA48" s="159"/>
      <c r="NRB48" s="159"/>
      <c r="NRC48" s="159"/>
      <c r="NRD48" s="159"/>
      <c r="NRE48" s="159"/>
      <c r="NRF48" s="159"/>
      <c r="NRG48" s="159"/>
      <c r="NRH48" s="159"/>
      <c r="NRI48" s="159"/>
      <c r="NRJ48" s="159"/>
      <c r="NRK48" s="159"/>
      <c r="NRL48" s="159"/>
      <c r="NRM48" s="159"/>
      <c r="NRN48" s="159"/>
      <c r="NRO48" s="159"/>
      <c r="NRP48" s="159"/>
      <c r="NRQ48" s="159"/>
      <c r="NRR48" s="159"/>
      <c r="NRS48" s="159"/>
      <c r="NRT48" s="159"/>
      <c r="NRU48" s="159"/>
      <c r="NRV48" s="159"/>
      <c r="NRW48" s="159"/>
      <c r="NRX48" s="159"/>
      <c r="NRY48" s="159"/>
      <c r="NRZ48" s="159"/>
      <c r="NSA48" s="159"/>
      <c r="NSB48" s="159"/>
      <c r="NSC48" s="159"/>
      <c r="NSD48" s="159"/>
      <c r="NSE48" s="159"/>
      <c r="NSF48" s="159"/>
      <c r="NSG48" s="159"/>
      <c r="NSH48" s="159"/>
      <c r="NSI48" s="159"/>
      <c r="NSJ48" s="159"/>
      <c r="NSK48" s="159"/>
      <c r="NSL48" s="159"/>
      <c r="NSM48" s="159"/>
      <c r="NSN48" s="159"/>
      <c r="NSO48" s="159"/>
      <c r="NSP48" s="159"/>
      <c r="NSQ48" s="159"/>
      <c r="NSR48" s="159"/>
      <c r="NSS48" s="159"/>
      <c r="NST48" s="159"/>
      <c r="NSU48" s="159"/>
      <c r="NSV48" s="159"/>
      <c r="NSW48" s="159"/>
      <c r="NSX48" s="159"/>
      <c r="NSY48" s="159"/>
      <c r="NSZ48" s="159"/>
      <c r="NTA48" s="159"/>
      <c r="NTB48" s="159"/>
      <c r="NTC48" s="159"/>
      <c r="NTD48" s="159"/>
      <c r="NTE48" s="159"/>
      <c r="NTF48" s="159"/>
      <c r="NTG48" s="159"/>
      <c r="NTH48" s="159"/>
      <c r="NTI48" s="159"/>
      <c r="NTJ48" s="159"/>
      <c r="NTK48" s="159"/>
      <c r="NTL48" s="159"/>
      <c r="NTM48" s="159"/>
      <c r="NTN48" s="159"/>
      <c r="NTO48" s="159"/>
      <c r="NTP48" s="159"/>
      <c r="NTQ48" s="159"/>
      <c r="NTR48" s="159"/>
      <c r="NTS48" s="159"/>
      <c r="NTT48" s="159"/>
      <c r="NTU48" s="159"/>
      <c r="NTV48" s="159"/>
      <c r="NTW48" s="159"/>
      <c r="NTX48" s="159"/>
      <c r="NTY48" s="159"/>
      <c r="NTZ48" s="159"/>
      <c r="NUA48" s="159"/>
      <c r="NUB48" s="159"/>
      <c r="NUC48" s="159"/>
      <c r="NUD48" s="159"/>
      <c r="NUE48" s="159"/>
      <c r="NUF48" s="159"/>
      <c r="NUG48" s="159"/>
      <c r="NUH48" s="159"/>
      <c r="NUI48" s="159"/>
      <c r="NUJ48" s="159"/>
      <c r="NUK48" s="159"/>
      <c r="NUL48" s="159"/>
      <c r="NUM48" s="159"/>
      <c r="NUN48" s="159"/>
      <c r="NUO48" s="159"/>
      <c r="NUP48" s="159"/>
      <c r="NUQ48" s="159"/>
      <c r="NUR48" s="159"/>
      <c r="NUS48" s="159"/>
      <c r="NUT48" s="159"/>
      <c r="NUU48" s="159"/>
      <c r="NUV48" s="159"/>
      <c r="NUW48" s="159"/>
      <c r="NUX48" s="159"/>
      <c r="NUY48" s="159"/>
      <c r="NUZ48" s="159"/>
      <c r="NVA48" s="159"/>
      <c r="NVB48" s="159"/>
      <c r="NVC48" s="159"/>
      <c r="NVD48" s="159"/>
      <c r="NVE48" s="159"/>
      <c r="NVF48" s="159"/>
      <c r="NVG48" s="159"/>
      <c r="NVH48" s="159"/>
      <c r="NVI48" s="159"/>
      <c r="NVJ48" s="159"/>
      <c r="NVK48" s="159"/>
      <c r="NVL48" s="159"/>
      <c r="NVM48" s="159"/>
      <c r="NVN48" s="159"/>
      <c r="NVO48" s="159"/>
      <c r="NVP48" s="159"/>
      <c r="NVQ48" s="159"/>
      <c r="NVR48" s="159"/>
      <c r="NVS48" s="159"/>
      <c r="NVT48" s="159"/>
      <c r="NVU48" s="159"/>
      <c r="NVV48" s="159"/>
      <c r="NVW48" s="159"/>
      <c r="NVX48" s="159"/>
      <c r="NVY48" s="159"/>
      <c r="NVZ48" s="159"/>
      <c r="NWA48" s="159"/>
      <c r="NWB48" s="159"/>
      <c r="NWC48" s="159"/>
      <c r="NWD48" s="159"/>
      <c r="NWE48" s="159"/>
      <c r="NWF48" s="159"/>
      <c r="NWG48" s="159"/>
      <c r="NWH48" s="159"/>
      <c r="NWI48" s="159"/>
      <c r="NWJ48" s="159"/>
      <c r="NWK48" s="159"/>
      <c r="NWL48" s="159"/>
      <c r="NWM48" s="159"/>
      <c r="NWN48" s="159"/>
      <c r="NWO48" s="159"/>
      <c r="NWP48" s="159"/>
      <c r="NWQ48" s="159"/>
      <c r="NWR48" s="159"/>
      <c r="NWS48" s="159"/>
      <c r="NWT48" s="159"/>
      <c r="NWU48" s="159"/>
      <c r="NWV48" s="159"/>
      <c r="NWW48" s="159"/>
      <c r="NWX48" s="159"/>
      <c r="NWY48" s="159"/>
      <c r="NWZ48" s="159"/>
      <c r="NXA48" s="159"/>
      <c r="NXB48" s="159"/>
      <c r="NXC48" s="159"/>
      <c r="NXD48" s="159"/>
      <c r="NXE48" s="159"/>
      <c r="NXF48" s="159"/>
      <c r="NXG48" s="159"/>
      <c r="NXH48" s="159"/>
      <c r="NXI48" s="159"/>
      <c r="NXJ48" s="159"/>
      <c r="NXK48" s="159"/>
      <c r="NXL48" s="159"/>
      <c r="NXM48" s="159"/>
      <c r="NXN48" s="159"/>
      <c r="NXO48" s="159"/>
      <c r="NXP48" s="159"/>
      <c r="NXQ48" s="159"/>
      <c r="NXR48" s="159"/>
      <c r="NXS48" s="159"/>
      <c r="NXT48" s="159"/>
      <c r="NXU48" s="159"/>
      <c r="NXV48" s="159"/>
      <c r="NXW48" s="159"/>
      <c r="NXX48" s="159"/>
      <c r="NXY48" s="159"/>
      <c r="NXZ48" s="159"/>
      <c r="NYA48" s="159"/>
      <c r="NYB48" s="159"/>
      <c r="NYC48" s="159"/>
      <c r="NYD48" s="159"/>
      <c r="NYE48" s="159"/>
      <c r="NYF48" s="159"/>
      <c r="NYG48" s="159"/>
      <c r="NYH48" s="159"/>
      <c r="NYI48" s="159"/>
      <c r="NYJ48" s="159"/>
      <c r="NYK48" s="159"/>
      <c r="NYL48" s="159"/>
      <c r="NYM48" s="159"/>
      <c r="NYN48" s="159"/>
      <c r="NYO48" s="159"/>
      <c r="NYP48" s="159"/>
      <c r="NYQ48" s="159"/>
      <c r="NYR48" s="159"/>
      <c r="NYS48" s="159"/>
      <c r="NYT48" s="159"/>
      <c r="NYU48" s="159"/>
      <c r="NYV48" s="159"/>
      <c r="NYW48" s="159"/>
      <c r="NYX48" s="159"/>
      <c r="NYY48" s="159"/>
      <c r="NYZ48" s="159"/>
      <c r="NZA48" s="159"/>
      <c r="NZB48" s="159"/>
      <c r="NZC48" s="159"/>
      <c r="NZD48" s="159"/>
      <c r="NZE48" s="159"/>
      <c r="NZF48" s="159"/>
      <c r="NZG48" s="159"/>
      <c r="NZH48" s="159"/>
      <c r="NZI48" s="159"/>
      <c r="NZJ48" s="159"/>
      <c r="NZK48" s="159"/>
      <c r="NZL48" s="159"/>
      <c r="NZM48" s="159"/>
      <c r="NZN48" s="159"/>
      <c r="NZO48" s="159"/>
      <c r="NZP48" s="159"/>
      <c r="NZQ48" s="159"/>
      <c r="NZR48" s="159"/>
      <c r="NZS48" s="159"/>
      <c r="NZT48" s="159"/>
      <c r="NZU48" s="159"/>
      <c r="NZV48" s="159"/>
      <c r="NZW48" s="159"/>
      <c r="NZX48" s="159"/>
      <c r="NZY48" s="159"/>
      <c r="NZZ48" s="159"/>
      <c r="OAA48" s="159"/>
      <c r="OAB48" s="159"/>
      <c r="OAC48" s="159"/>
      <c r="OAD48" s="159"/>
      <c r="OAE48" s="159"/>
      <c r="OAF48" s="159"/>
      <c r="OAG48" s="159"/>
      <c r="OAH48" s="159"/>
      <c r="OAI48" s="159"/>
      <c r="OAJ48" s="159"/>
      <c r="OAK48" s="159"/>
      <c r="OAL48" s="159"/>
      <c r="OAM48" s="159"/>
      <c r="OAN48" s="159"/>
      <c r="OAO48" s="159"/>
      <c r="OAP48" s="159"/>
      <c r="OAQ48" s="159"/>
      <c r="OAR48" s="159"/>
      <c r="OAS48" s="159"/>
      <c r="OAT48" s="159"/>
      <c r="OAU48" s="159"/>
      <c r="OAV48" s="159"/>
      <c r="OAW48" s="159"/>
      <c r="OAX48" s="159"/>
      <c r="OAY48" s="159"/>
      <c r="OAZ48" s="159"/>
      <c r="OBA48" s="159"/>
      <c r="OBB48" s="159"/>
      <c r="OBC48" s="159"/>
      <c r="OBD48" s="159"/>
      <c r="OBE48" s="159"/>
      <c r="OBF48" s="159"/>
      <c r="OBG48" s="159"/>
      <c r="OBH48" s="159"/>
      <c r="OBI48" s="159"/>
      <c r="OBJ48" s="159"/>
      <c r="OBK48" s="159"/>
      <c r="OBL48" s="159"/>
      <c r="OBM48" s="159"/>
      <c r="OBN48" s="159"/>
      <c r="OBO48" s="159"/>
      <c r="OBP48" s="159"/>
      <c r="OBQ48" s="159"/>
      <c r="OBR48" s="159"/>
      <c r="OBS48" s="159"/>
      <c r="OBT48" s="159"/>
      <c r="OBU48" s="159"/>
      <c r="OBV48" s="159"/>
      <c r="OBW48" s="159"/>
      <c r="OBX48" s="159"/>
      <c r="OBY48" s="159"/>
      <c r="OBZ48" s="159"/>
      <c r="OCA48" s="159"/>
      <c r="OCB48" s="159"/>
      <c r="OCC48" s="159"/>
      <c r="OCD48" s="159"/>
      <c r="OCE48" s="159"/>
      <c r="OCF48" s="159"/>
      <c r="OCG48" s="159"/>
      <c r="OCH48" s="159"/>
      <c r="OCI48" s="159"/>
      <c r="OCJ48" s="159"/>
      <c r="OCK48" s="159"/>
      <c r="OCL48" s="159"/>
      <c r="OCM48" s="159"/>
      <c r="OCN48" s="159"/>
      <c r="OCO48" s="159"/>
      <c r="OCP48" s="159"/>
      <c r="OCQ48" s="159"/>
      <c r="OCR48" s="159"/>
      <c r="OCS48" s="159"/>
      <c r="OCT48" s="159"/>
      <c r="OCU48" s="159"/>
      <c r="OCV48" s="159"/>
      <c r="OCW48" s="159"/>
      <c r="OCX48" s="159"/>
      <c r="OCY48" s="159"/>
      <c r="OCZ48" s="159"/>
      <c r="ODA48" s="159"/>
      <c r="ODB48" s="159"/>
      <c r="ODC48" s="159"/>
      <c r="ODD48" s="159"/>
      <c r="ODE48" s="159"/>
      <c r="ODF48" s="159"/>
      <c r="ODG48" s="159"/>
      <c r="ODH48" s="159"/>
      <c r="ODI48" s="159"/>
      <c r="ODJ48" s="159"/>
      <c r="ODK48" s="159"/>
      <c r="ODL48" s="159"/>
      <c r="ODM48" s="159"/>
      <c r="ODN48" s="159"/>
      <c r="ODO48" s="159"/>
      <c r="ODP48" s="159"/>
      <c r="ODQ48" s="159"/>
      <c r="ODR48" s="159"/>
      <c r="ODS48" s="159"/>
      <c r="ODT48" s="159"/>
      <c r="ODU48" s="159"/>
      <c r="ODV48" s="159"/>
      <c r="ODW48" s="159"/>
      <c r="ODX48" s="159"/>
      <c r="ODY48" s="159"/>
      <c r="ODZ48" s="159"/>
      <c r="OEA48" s="159"/>
      <c r="OEB48" s="159"/>
      <c r="OEC48" s="159"/>
      <c r="OED48" s="159"/>
      <c r="OEE48" s="159"/>
      <c r="OEF48" s="159"/>
      <c r="OEG48" s="159"/>
      <c r="OEH48" s="159"/>
      <c r="OEI48" s="159"/>
      <c r="OEJ48" s="159"/>
      <c r="OEK48" s="159"/>
      <c r="OEL48" s="159"/>
      <c r="OEM48" s="159"/>
      <c r="OEN48" s="159"/>
      <c r="OEO48" s="159"/>
      <c r="OEP48" s="159"/>
      <c r="OEQ48" s="159"/>
      <c r="OER48" s="159"/>
      <c r="OES48" s="159"/>
      <c r="OET48" s="159"/>
      <c r="OEU48" s="159"/>
      <c r="OEV48" s="159"/>
      <c r="OEW48" s="159"/>
      <c r="OEX48" s="159"/>
      <c r="OEY48" s="159"/>
      <c r="OEZ48" s="159"/>
      <c r="OFA48" s="159"/>
      <c r="OFB48" s="159"/>
      <c r="OFC48" s="159"/>
      <c r="OFD48" s="159"/>
      <c r="OFE48" s="159"/>
      <c r="OFF48" s="159"/>
      <c r="OFG48" s="159"/>
      <c r="OFH48" s="159"/>
      <c r="OFI48" s="159"/>
      <c r="OFJ48" s="159"/>
      <c r="OFK48" s="159"/>
      <c r="OFL48" s="159"/>
      <c r="OFM48" s="159"/>
      <c r="OFN48" s="159"/>
      <c r="OFO48" s="159"/>
      <c r="OFP48" s="159"/>
      <c r="OFQ48" s="159"/>
      <c r="OFR48" s="159"/>
      <c r="OFS48" s="159"/>
      <c r="OFT48" s="159"/>
      <c r="OFU48" s="159"/>
      <c r="OFV48" s="159"/>
      <c r="OFW48" s="159"/>
      <c r="OFX48" s="159"/>
      <c r="OFY48" s="159"/>
      <c r="OFZ48" s="159"/>
      <c r="OGA48" s="159"/>
      <c r="OGB48" s="159"/>
      <c r="OGC48" s="159"/>
      <c r="OGD48" s="159"/>
      <c r="OGE48" s="159"/>
      <c r="OGF48" s="159"/>
      <c r="OGG48" s="159"/>
      <c r="OGH48" s="159"/>
      <c r="OGI48" s="159"/>
      <c r="OGJ48" s="159"/>
      <c r="OGK48" s="159"/>
      <c r="OGL48" s="159"/>
      <c r="OGM48" s="159"/>
      <c r="OGN48" s="159"/>
      <c r="OGO48" s="159"/>
      <c r="OGP48" s="159"/>
      <c r="OGQ48" s="159"/>
      <c r="OGR48" s="159"/>
      <c r="OGS48" s="159"/>
      <c r="OGT48" s="159"/>
      <c r="OGU48" s="159"/>
      <c r="OGV48" s="159"/>
      <c r="OGW48" s="159"/>
      <c r="OGX48" s="159"/>
      <c r="OGY48" s="159"/>
      <c r="OGZ48" s="159"/>
      <c r="OHA48" s="159"/>
      <c r="OHB48" s="159"/>
      <c r="OHC48" s="159"/>
      <c r="OHD48" s="159"/>
      <c r="OHE48" s="159"/>
      <c r="OHF48" s="159"/>
      <c r="OHG48" s="159"/>
      <c r="OHH48" s="159"/>
      <c r="OHI48" s="159"/>
      <c r="OHJ48" s="159"/>
      <c r="OHK48" s="159"/>
      <c r="OHL48" s="159"/>
      <c r="OHM48" s="159"/>
      <c r="OHN48" s="159"/>
      <c r="OHO48" s="159"/>
      <c r="OHP48" s="159"/>
      <c r="OHQ48" s="159"/>
      <c r="OHR48" s="159"/>
      <c r="OHS48" s="159"/>
      <c r="OHT48" s="159"/>
      <c r="OHU48" s="159"/>
      <c r="OHV48" s="159"/>
      <c r="OHW48" s="159"/>
      <c r="OHX48" s="159"/>
      <c r="OHY48" s="159"/>
      <c r="OHZ48" s="159"/>
      <c r="OIA48" s="159"/>
      <c r="OIB48" s="159"/>
      <c r="OIC48" s="159"/>
      <c r="OID48" s="159"/>
      <c r="OIE48" s="159"/>
      <c r="OIF48" s="159"/>
      <c r="OIG48" s="159"/>
      <c r="OIH48" s="159"/>
      <c r="OII48" s="159"/>
      <c r="OIJ48" s="159"/>
      <c r="OIK48" s="159"/>
      <c r="OIL48" s="159"/>
      <c r="OIM48" s="159"/>
      <c r="OIN48" s="159"/>
      <c r="OIO48" s="159"/>
      <c r="OIP48" s="159"/>
      <c r="OIQ48" s="159"/>
      <c r="OIR48" s="159"/>
      <c r="OIS48" s="159"/>
      <c r="OIT48" s="159"/>
      <c r="OIU48" s="159"/>
      <c r="OIV48" s="159"/>
      <c r="OIW48" s="159"/>
      <c r="OIX48" s="159"/>
      <c r="OIY48" s="159"/>
      <c r="OIZ48" s="159"/>
      <c r="OJA48" s="159"/>
      <c r="OJB48" s="159"/>
      <c r="OJC48" s="159"/>
      <c r="OJD48" s="159"/>
      <c r="OJE48" s="159"/>
      <c r="OJF48" s="159"/>
      <c r="OJG48" s="159"/>
      <c r="OJH48" s="159"/>
      <c r="OJI48" s="159"/>
      <c r="OJJ48" s="159"/>
      <c r="OJK48" s="159"/>
      <c r="OJL48" s="159"/>
      <c r="OJM48" s="159"/>
      <c r="OJN48" s="159"/>
      <c r="OJO48" s="159"/>
      <c r="OJP48" s="159"/>
      <c r="OJQ48" s="159"/>
      <c r="OJR48" s="159"/>
      <c r="OJS48" s="159"/>
      <c r="OJT48" s="159"/>
      <c r="OJU48" s="159"/>
      <c r="OJV48" s="159"/>
      <c r="OJW48" s="159"/>
      <c r="OJX48" s="159"/>
      <c r="OJY48" s="159"/>
      <c r="OJZ48" s="159"/>
      <c r="OKA48" s="159"/>
      <c r="OKB48" s="159"/>
      <c r="OKC48" s="159"/>
      <c r="OKD48" s="159"/>
      <c r="OKE48" s="159"/>
      <c r="OKF48" s="159"/>
      <c r="OKG48" s="159"/>
      <c r="OKH48" s="159"/>
      <c r="OKI48" s="159"/>
      <c r="OKJ48" s="159"/>
      <c r="OKK48" s="159"/>
      <c r="OKL48" s="159"/>
      <c r="OKM48" s="159"/>
      <c r="OKN48" s="159"/>
      <c r="OKO48" s="159"/>
      <c r="OKP48" s="159"/>
      <c r="OKQ48" s="159"/>
      <c r="OKR48" s="159"/>
      <c r="OKS48" s="159"/>
      <c r="OKT48" s="159"/>
      <c r="OKU48" s="159"/>
      <c r="OKV48" s="159"/>
      <c r="OKW48" s="159"/>
      <c r="OKX48" s="159"/>
      <c r="OKY48" s="159"/>
      <c r="OKZ48" s="159"/>
      <c r="OLA48" s="159"/>
      <c r="OLB48" s="159"/>
      <c r="OLC48" s="159"/>
      <c r="OLD48" s="159"/>
      <c r="OLE48" s="159"/>
      <c r="OLF48" s="159"/>
      <c r="OLG48" s="159"/>
      <c r="OLH48" s="159"/>
      <c r="OLI48" s="159"/>
      <c r="OLJ48" s="159"/>
      <c r="OLK48" s="159"/>
      <c r="OLL48" s="159"/>
      <c r="OLM48" s="159"/>
      <c r="OLN48" s="159"/>
      <c r="OLO48" s="159"/>
      <c r="OLP48" s="159"/>
      <c r="OLQ48" s="159"/>
      <c r="OLR48" s="159"/>
      <c r="OLS48" s="159"/>
      <c r="OLT48" s="159"/>
      <c r="OLU48" s="159"/>
      <c r="OLV48" s="159"/>
      <c r="OLW48" s="159"/>
      <c r="OLX48" s="159"/>
      <c r="OLY48" s="159"/>
      <c r="OLZ48" s="159"/>
      <c r="OMA48" s="159"/>
      <c r="OMB48" s="159"/>
      <c r="OMC48" s="159"/>
      <c r="OMD48" s="159"/>
      <c r="OME48" s="159"/>
      <c r="OMF48" s="159"/>
      <c r="OMG48" s="159"/>
      <c r="OMH48" s="159"/>
      <c r="OMI48" s="159"/>
      <c r="OMJ48" s="159"/>
      <c r="OMK48" s="159"/>
      <c r="OML48" s="159"/>
      <c r="OMM48" s="159"/>
      <c r="OMN48" s="159"/>
      <c r="OMO48" s="159"/>
      <c r="OMP48" s="159"/>
      <c r="OMQ48" s="159"/>
      <c r="OMR48" s="159"/>
      <c r="OMS48" s="159"/>
      <c r="OMT48" s="159"/>
      <c r="OMU48" s="159"/>
      <c r="OMV48" s="159"/>
      <c r="OMW48" s="159"/>
      <c r="OMX48" s="159"/>
      <c r="OMY48" s="159"/>
      <c r="OMZ48" s="159"/>
      <c r="ONA48" s="159"/>
      <c r="ONB48" s="159"/>
      <c r="ONC48" s="159"/>
      <c r="OND48" s="159"/>
      <c r="ONE48" s="159"/>
      <c r="ONF48" s="159"/>
      <c r="ONG48" s="159"/>
      <c r="ONH48" s="159"/>
      <c r="ONI48" s="159"/>
      <c r="ONJ48" s="159"/>
      <c r="ONK48" s="159"/>
      <c r="ONL48" s="159"/>
      <c r="ONM48" s="159"/>
      <c r="ONN48" s="159"/>
      <c r="ONO48" s="159"/>
      <c r="ONP48" s="159"/>
      <c r="ONQ48" s="159"/>
      <c r="ONR48" s="159"/>
      <c r="ONS48" s="159"/>
      <c r="ONT48" s="159"/>
      <c r="ONU48" s="159"/>
      <c r="ONV48" s="159"/>
      <c r="ONW48" s="159"/>
      <c r="ONX48" s="159"/>
      <c r="ONY48" s="159"/>
      <c r="ONZ48" s="159"/>
      <c r="OOA48" s="159"/>
      <c r="OOB48" s="159"/>
      <c r="OOC48" s="159"/>
      <c r="OOD48" s="159"/>
      <c r="OOE48" s="159"/>
      <c r="OOF48" s="159"/>
      <c r="OOG48" s="159"/>
      <c r="OOH48" s="159"/>
      <c r="OOI48" s="159"/>
      <c r="OOJ48" s="159"/>
      <c r="OOK48" s="159"/>
      <c r="OOL48" s="159"/>
      <c r="OOM48" s="159"/>
      <c r="OON48" s="159"/>
      <c r="OOO48" s="159"/>
      <c r="OOP48" s="159"/>
      <c r="OOQ48" s="159"/>
      <c r="OOR48" s="159"/>
      <c r="OOS48" s="159"/>
      <c r="OOT48" s="159"/>
      <c r="OOU48" s="159"/>
      <c r="OOV48" s="159"/>
      <c r="OOW48" s="159"/>
      <c r="OOX48" s="159"/>
      <c r="OOY48" s="159"/>
      <c r="OOZ48" s="159"/>
      <c r="OPA48" s="159"/>
      <c r="OPB48" s="159"/>
      <c r="OPC48" s="159"/>
      <c r="OPD48" s="159"/>
      <c r="OPE48" s="159"/>
      <c r="OPF48" s="159"/>
      <c r="OPG48" s="159"/>
      <c r="OPH48" s="159"/>
      <c r="OPI48" s="159"/>
      <c r="OPJ48" s="159"/>
      <c r="OPK48" s="159"/>
      <c r="OPL48" s="159"/>
      <c r="OPM48" s="159"/>
      <c r="OPN48" s="159"/>
      <c r="OPO48" s="159"/>
      <c r="OPP48" s="159"/>
      <c r="OPQ48" s="159"/>
      <c r="OPR48" s="159"/>
      <c r="OPS48" s="159"/>
      <c r="OPT48" s="159"/>
      <c r="OPU48" s="159"/>
      <c r="OPV48" s="159"/>
      <c r="OPW48" s="159"/>
      <c r="OPX48" s="159"/>
      <c r="OPY48" s="159"/>
      <c r="OPZ48" s="159"/>
      <c r="OQA48" s="159"/>
      <c r="OQB48" s="159"/>
      <c r="OQC48" s="159"/>
      <c r="OQD48" s="159"/>
      <c r="OQE48" s="159"/>
      <c r="OQF48" s="159"/>
      <c r="OQG48" s="159"/>
      <c r="OQH48" s="159"/>
      <c r="OQI48" s="159"/>
      <c r="OQJ48" s="159"/>
      <c r="OQK48" s="159"/>
      <c r="OQL48" s="159"/>
      <c r="OQM48" s="159"/>
      <c r="OQN48" s="159"/>
      <c r="OQO48" s="159"/>
      <c r="OQP48" s="159"/>
      <c r="OQQ48" s="159"/>
      <c r="OQR48" s="159"/>
      <c r="OQS48" s="159"/>
      <c r="OQT48" s="159"/>
      <c r="OQU48" s="159"/>
      <c r="OQV48" s="159"/>
      <c r="OQW48" s="159"/>
      <c r="OQX48" s="159"/>
      <c r="OQY48" s="159"/>
      <c r="OQZ48" s="159"/>
      <c r="ORA48" s="159"/>
      <c r="ORB48" s="159"/>
      <c r="ORC48" s="159"/>
      <c r="ORD48" s="159"/>
      <c r="ORE48" s="159"/>
      <c r="ORF48" s="159"/>
      <c r="ORG48" s="159"/>
      <c r="ORH48" s="159"/>
      <c r="ORI48" s="159"/>
      <c r="ORJ48" s="159"/>
      <c r="ORK48" s="159"/>
      <c r="ORL48" s="159"/>
      <c r="ORM48" s="159"/>
      <c r="ORN48" s="159"/>
      <c r="ORO48" s="159"/>
      <c r="ORP48" s="159"/>
      <c r="ORQ48" s="159"/>
      <c r="ORR48" s="159"/>
      <c r="ORS48" s="159"/>
      <c r="ORT48" s="159"/>
      <c r="ORU48" s="159"/>
      <c r="ORV48" s="159"/>
      <c r="ORW48" s="159"/>
      <c r="ORX48" s="159"/>
      <c r="ORY48" s="159"/>
      <c r="ORZ48" s="159"/>
      <c r="OSA48" s="159"/>
      <c r="OSB48" s="159"/>
      <c r="OSC48" s="159"/>
      <c r="OSD48" s="159"/>
      <c r="OSE48" s="159"/>
      <c r="OSF48" s="159"/>
      <c r="OSG48" s="159"/>
      <c r="OSH48" s="159"/>
      <c r="OSI48" s="159"/>
      <c r="OSJ48" s="159"/>
      <c r="OSK48" s="159"/>
      <c r="OSL48" s="159"/>
      <c r="OSM48" s="159"/>
      <c r="OSN48" s="159"/>
      <c r="OSO48" s="159"/>
      <c r="OSP48" s="159"/>
      <c r="OSQ48" s="159"/>
      <c r="OSR48" s="159"/>
      <c r="OSS48" s="159"/>
      <c r="OST48" s="159"/>
      <c r="OSU48" s="159"/>
      <c r="OSV48" s="159"/>
      <c r="OSW48" s="159"/>
      <c r="OSX48" s="159"/>
      <c r="OSY48" s="159"/>
      <c r="OSZ48" s="159"/>
      <c r="OTA48" s="159"/>
      <c r="OTB48" s="159"/>
      <c r="OTC48" s="159"/>
      <c r="OTD48" s="159"/>
      <c r="OTE48" s="159"/>
      <c r="OTF48" s="159"/>
      <c r="OTG48" s="159"/>
      <c r="OTH48" s="159"/>
      <c r="OTI48" s="159"/>
      <c r="OTJ48" s="159"/>
      <c r="OTK48" s="159"/>
      <c r="OTL48" s="159"/>
      <c r="OTM48" s="159"/>
      <c r="OTN48" s="159"/>
      <c r="OTO48" s="159"/>
      <c r="OTP48" s="159"/>
      <c r="OTQ48" s="159"/>
      <c r="OTR48" s="159"/>
      <c r="OTS48" s="159"/>
      <c r="OTT48" s="159"/>
      <c r="OTU48" s="159"/>
      <c r="OTV48" s="159"/>
      <c r="OTW48" s="159"/>
      <c r="OTX48" s="159"/>
      <c r="OTY48" s="159"/>
      <c r="OTZ48" s="159"/>
      <c r="OUA48" s="159"/>
      <c r="OUB48" s="159"/>
      <c r="OUC48" s="159"/>
      <c r="OUD48" s="159"/>
      <c r="OUE48" s="159"/>
      <c r="OUF48" s="159"/>
      <c r="OUG48" s="159"/>
      <c r="OUH48" s="159"/>
      <c r="OUI48" s="159"/>
      <c r="OUJ48" s="159"/>
      <c r="OUK48" s="159"/>
      <c r="OUL48" s="159"/>
      <c r="OUM48" s="159"/>
      <c r="OUN48" s="159"/>
      <c r="OUO48" s="159"/>
      <c r="OUP48" s="159"/>
      <c r="OUQ48" s="159"/>
      <c r="OUR48" s="159"/>
      <c r="OUS48" s="159"/>
      <c r="OUT48" s="159"/>
      <c r="OUU48" s="159"/>
      <c r="OUV48" s="159"/>
      <c r="OUW48" s="159"/>
      <c r="OUX48" s="159"/>
      <c r="OUY48" s="159"/>
      <c r="OUZ48" s="159"/>
      <c r="OVA48" s="159"/>
      <c r="OVB48" s="159"/>
      <c r="OVC48" s="159"/>
      <c r="OVD48" s="159"/>
      <c r="OVE48" s="159"/>
      <c r="OVF48" s="159"/>
      <c r="OVG48" s="159"/>
      <c r="OVH48" s="159"/>
      <c r="OVI48" s="159"/>
      <c r="OVJ48" s="159"/>
      <c r="OVK48" s="159"/>
      <c r="OVL48" s="159"/>
      <c r="OVM48" s="159"/>
      <c r="OVN48" s="159"/>
      <c r="OVO48" s="159"/>
      <c r="OVP48" s="159"/>
      <c r="OVQ48" s="159"/>
      <c r="OVR48" s="159"/>
      <c r="OVS48" s="159"/>
      <c r="OVT48" s="159"/>
      <c r="OVU48" s="159"/>
      <c r="OVV48" s="159"/>
      <c r="OVW48" s="159"/>
      <c r="OVX48" s="159"/>
      <c r="OVY48" s="159"/>
      <c r="OVZ48" s="159"/>
      <c r="OWA48" s="159"/>
      <c r="OWB48" s="159"/>
      <c r="OWC48" s="159"/>
      <c r="OWD48" s="159"/>
      <c r="OWE48" s="159"/>
      <c r="OWF48" s="159"/>
      <c r="OWG48" s="159"/>
      <c r="OWH48" s="159"/>
      <c r="OWI48" s="159"/>
      <c r="OWJ48" s="159"/>
      <c r="OWK48" s="159"/>
      <c r="OWL48" s="159"/>
      <c r="OWM48" s="159"/>
      <c r="OWN48" s="159"/>
      <c r="OWO48" s="159"/>
      <c r="OWP48" s="159"/>
      <c r="OWQ48" s="159"/>
      <c r="OWR48" s="159"/>
      <c r="OWS48" s="159"/>
      <c r="OWT48" s="159"/>
      <c r="OWU48" s="159"/>
      <c r="OWV48" s="159"/>
      <c r="OWW48" s="159"/>
      <c r="OWX48" s="159"/>
      <c r="OWY48" s="159"/>
      <c r="OWZ48" s="159"/>
      <c r="OXA48" s="159"/>
      <c r="OXB48" s="159"/>
      <c r="OXC48" s="159"/>
      <c r="OXD48" s="159"/>
      <c r="OXE48" s="159"/>
      <c r="OXF48" s="159"/>
      <c r="OXG48" s="159"/>
      <c r="OXH48" s="159"/>
      <c r="OXI48" s="159"/>
      <c r="OXJ48" s="159"/>
      <c r="OXK48" s="159"/>
      <c r="OXL48" s="159"/>
      <c r="OXM48" s="159"/>
      <c r="OXN48" s="159"/>
      <c r="OXO48" s="159"/>
      <c r="OXP48" s="159"/>
      <c r="OXQ48" s="159"/>
      <c r="OXR48" s="159"/>
      <c r="OXS48" s="159"/>
      <c r="OXT48" s="159"/>
      <c r="OXU48" s="159"/>
      <c r="OXV48" s="159"/>
      <c r="OXW48" s="159"/>
      <c r="OXX48" s="159"/>
      <c r="OXY48" s="159"/>
      <c r="OXZ48" s="159"/>
      <c r="OYA48" s="159"/>
      <c r="OYB48" s="159"/>
      <c r="OYC48" s="159"/>
      <c r="OYD48" s="159"/>
      <c r="OYE48" s="159"/>
      <c r="OYF48" s="159"/>
      <c r="OYG48" s="159"/>
      <c r="OYH48" s="159"/>
      <c r="OYI48" s="159"/>
      <c r="OYJ48" s="159"/>
      <c r="OYK48" s="159"/>
      <c r="OYL48" s="159"/>
      <c r="OYM48" s="159"/>
      <c r="OYN48" s="159"/>
      <c r="OYO48" s="159"/>
      <c r="OYP48" s="159"/>
      <c r="OYQ48" s="159"/>
      <c r="OYR48" s="159"/>
      <c r="OYS48" s="159"/>
      <c r="OYT48" s="159"/>
      <c r="OYU48" s="159"/>
      <c r="OYV48" s="159"/>
      <c r="OYW48" s="159"/>
      <c r="OYX48" s="159"/>
      <c r="OYY48" s="159"/>
      <c r="OYZ48" s="159"/>
      <c r="OZA48" s="159"/>
      <c r="OZB48" s="159"/>
      <c r="OZC48" s="159"/>
      <c r="OZD48" s="159"/>
      <c r="OZE48" s="159"/>
      <c r="OZF48" s="159"/>
      <c r="OZG48" s="159"/>
      <c r="OZH48" s="159"/>
      <c r="OZI48" s="159"/>
      <c r="OZJ48" s="159"/>
      <c r="OZK48" s="159"/>
      <c r="OZL48" s="159"/>
      <c r="OZM48" s="159"/>
      <c r="OZN48" s="159"/>
      <c r="OZO48" s="159"/>
      <c r="OZP48" s="159"/>
      <c r="OZQ48" s="159"/>
      <c r="OZR48" s="159"/>
      <c r="OZS48" s="159"/>
      <c r="OZT48" s="159"/>
      <c r="OZU48" s="159"/>
      <c r="OZV48" s="159"/>
      <c r="OZW48" s="159"/>
      <c r="OZX48" s="159"/>
      <c r="OZY48" s="159"/>
      <c r="OZZ48" s="159"/>
      <c r="PAA48" s="159"/>
      <c r="PAB48" s="159"/>
      <c r="PAC48" s="159"/>
      <c r="PAD48" s="159"/>
      <c r="PAE48" s="159"/>
      <c r="PAF48" s="159"/>
      <c r="PAG48" s="159"/>
      <c r="PAH48" s="159"/>
      <c r="PAI48" s="159"/>
      <c r="PAJ48" s="159"/>
      <c r="PAK48" s="159"/>
      <c r="PAL48" s="159"/>
      <c r="PAM48" s="159"/>
      <c r="PAN48" s="159"/>
      <c r="PAO48" s="159"/>
      <c r="PAP48" s="159"/>
      <c r="PAQ48" s="159"/>
      <c r="PAR48" s="159"/>
      <c r="PAS48" s="159"/>
      <c r="PAT48" s="159"/>
      <c r="PAU48" s="159"/>
      <c r="PAV48" s="159"/>
      <c r="PAW48" s="159"/>
      <c r="PAX48" s="159"/>
      <c r="PAY48" s="159"/>
      <c r="PAZ48" s="159"/>
      <c r="PBA48" s="159"/>
      <c r="PBB48" s="159"/>
      <c r="PBC48" s="159"/>
      <c r="PBD48" s="159"/>
      <c r="PBE48" s="159"/>
      <c r="PBF48" s="159"/>
      <c r="PBG48" s="159"/>
      <c r="PBH48" s="159"/>
      <c r="PBI48" s="159"/>
      <c r="PBJ48" s="159"/>
      <c r="PBK48" s="159"/>
      <c r="PBL48" s="159"/>
      <c r="PBM48" s="159"/>
      <c r="PBN48" s="159"/>
      <c r="PBO48" s="159"/>
      <c r="PBP48" s="159"/>
      <c r="PBQ48" s="159"/>
      <c r="PBR48" s="159"/>
      <c r="PBS48" s="159"/>
      <c r="PBT48" s="159"/>
      <c r="PBU48" s="159"/>
      <c r="PBV48" s="159"/>
      <c r="PBW48" s="159"/>
      <c r="PBX48" s="159"/>
      <c r="PBY48" s="159"/>
      <c r="PBZ48" s="159"/>
      <c r="PCA48" s="159"/>
      <c r="PCB48" s="159"/>
      <c r="PCC48" s="159"/>
      <c r="PCD48" s="159"/>
      <c r="PCE48" s="159"/>
      <c r="PCF48" s="159"/>
      <c r="PCG48" s="159"/>
      <c r="PCH48" s="159"/>
      <c r="PCI48" s="159"/>
      <c r="PCJ48" s="159"/>
      <c r="PCK48" s="159"/>
      <c r="PCL48" s="159"/>
      <c r="PCM48" s="159"/>
      <c r="PCN48" s="159"/>
      <c r="PCO48" s="159"/>
      <c r="PCP48" s="159"/>
      <c r="PCQ48" s="159"/>
      <c r="PCR48" s="159"/>
      <c r="PCS48" s="159"/>
      <c r="PCT48" s="159"/>
      <c r="PCU48" s="159"/>
      <c r="PCV48" s="159"/>
      <c r="PCW48" s="159"/>
      <c r="PCX48" s="159"/>
      <c r="PCY48" s="159"/>
      <c r="PCZ48" s="159"/>
      <c r="PDA48" s="159"/>
      <c r="PDB48" s="159"/>
      <c r="PDC48" s="159"/>
      <c r="PDD48" s="159"/>
      <c r="PDE48" s="159"/>
      <c r="PDF48" s="159"/>
      <c r="PDG48" s="159"/>
      <c r="PDH48" s="159"/>
      <c r="PDI48" s="159"/>
      <c r="PDJ48" s="159"/>
      <c r="PDK48" s="159"/>
      <c r="PDL48" s="159"/>
      <c r="PDM48" s="159"/>
      <c r="PDN48" s="159"/>
      <c r="PDO48" s="159"/>
      <c r="PDP48" s="159"/>
      <c r="PDQ48" s="159"/>
      <c r="PDR48" s="159"/>
      <c r="PDS48" s="159"/>
      <c r="PDT48" s="159"/>
      <c r="PDU48" s="159"/>
      <c r="PDV48" s="159"/>
      <c r="PDW48" s="159"/>
      <c r="PDX48" s="159"/>
      <c r="PDY48" s="159"/>
      <c r="PDZ48" s="159"/>
      <c r="PEA48" s="159"/>
      <c r="PEB48" s="159"/>
      <c r="PEC48" s="159"/>
      <c r="PED48" s="159"/>
      <c r="PEE48" s="159"/>
      <c r="PEF48" s="159"/>
      <c r="PEG48" s="159"/>
      <c r="PEH48" s="159"/>
      <c r="PEI48" s="159"/>
      <c r="PEJ48" s="159"/>
      <c r="PEK48" s="159"/>
      <c r="PEL48" s="159"/>
      <c r="PEM48" s="159"/>
      <c r="PEN48" s="159"/>
      <c r="PEO48" s="159"/>
      <c r="PEP48" s="159"/>
      <c r="PEQ48" s="159"/>
      <c r="PER48" s="159"/>
      <c r="PES48" s="159"/>
      <c r="PET48" s="159"/>
      <c r="PEU48" s="159"/>
      <c r="PEV48" s="159"/>
      <c r="PEW48" s="159"/>
      <c r="PEX48" s="159"/>
      <c r="PEY48" s="159"/>
      <c r="PEZ48" s="159"/>
      <c r="PFA48" s="159"/>
      <c r="PFB48" s="159"/>
      <c r="PFC48" s="159"/>
      <c r="PFD48" s="159"/>
      <c r="PFE48" s="159"/>
      <c r="PFF48" s="159"/>
      <c r="PFG48" s="159"/>
      <c r="PFH48" s="159"/>
      <c r="PFI48" s="159"/>
      <c r="PFJ48" s="159"/>
      <c r="PFK48" s="159"/>
      <c r="PFL48" s="159"/>
      <c r="PFM48" s="159"/>
      <c r="PFN48" s="159"/>
      <c r="PFO48" s="159"/>
      <c r="PFP48" s="159"/>
      <c r="PFQ48" s="159"/>
      <c r="PFR48" s="159"/>
      <c r="PFS48" s="159"/>
      <c r="PFT48" s="159"/>
      <c r="PFU48" s="159"/>
      <c r="PFV48" s="159"/>
      <c r="PFW48" s="159"/>
      <c r="PFX48" s="159"/>
      <c r="PFY48" s="159"/>
      <c r="PFZ48" s="159"/>
      <c r="PGA48" s="159"/>
      <c r="PGB48" s="159"/>
      <c r="PGC48" s="159"/>
      <c r="PGD48" s="159"/>
      <c r="PGE48" s="159"/>
      <c r="PGF48" s="159"/>
      <c r="PGG48" s="159"/>
      <c r="PGH48" s="159"/>
      <c r="PGI48" s="159"/>
      <c r="PGJ48" s="159"/>
      <c r="PGK48" s="159"/>
      <c r="PGL48" s="159"/>
      <c r="PGM48" s="159"/>
      <c r="PGN48" s="159"/>
      <c r="PGO48" s="159"/>
      <c r="PGP48" s="159"/>
      <c r="PGQ48" s="159"/>
      <c r="PGR48" s="159"/>
      <c r="PGS48" s="159"/>
      <c r="PGT48" s="159"/>
      <c r="PGU48" s="159"/>
      <c r="PGV48" s="159"/>
      <c r="PGW48" s="159"/>
      <c r="PGX48" s="159"/>
      <c r="PGY48" s="159"/>
      <c r="PGZ48" s="159"/>
      <c r="PHA48" s="159"/>
      <c r="PHB48" s="159"/>
      <c r="PHC48" s="159"/>
      <c r="PHD48" s="159"/>
      <c r="PHE48" s="159"/>
      <c r="PHF48" s="159"/>
      <c r="PHG48" s="159"/>
      <c r="PHH48" s="159"/>
      <c r="PHI48" s="159"/>
      <c r="PHJ48" s="159"/>
      <c r="PHK48" s="159"/>
      <c r="PHL48" s="159"/>
      <c r="PHM48" s="159"/>
      <c r="PHN48" s="159"/>
      <c r="PHO48" s="159"/>
      <c r="PHP48" s="159"/>
      <c r="PHQ48" s="159"/>
      <c r="PHR48" s="159"/>
      <c r="PHS48" s="159"/>
      <c r="PHT48" s="159"/>
      <c r="PHU48" s="159"/>
      <c r="PHV48" s="159"/>
      <c r="PHW48" s="159"/>
      <c r="PHX48" s="159"/>
      <c r="PHY48" s="159"/>
      <c r="PHZ48" s="159"/>
      <c r="PIA48" s="159"/>
      <c r="PIB48" s="159"/>
      <c r="PIC48" s="159"/>
      <c r="PID48" s="159"/>
      <c r="PIE48" s="159"/>
      <c r="PIF48" s="159"/>
      <c r="PIG48" s="159"/>
      <c r="PIH48" s="159"/>
      <c r="PII48" s="159"/>
      <c r="PIJ48" s="159"/>
      <c r="PIK48" s="159"/>
      <c r="PIL48" s="159"/>
      <c r="PIM48" s="159"/>
      <c r="PIN48" s="159"/>
      <c r="PIO48" s="159"/>
      <c r="PIP48" s="159"/>
      <c r="PIQ48" s="159"/>
      <c r="PIR48" s="159"/>
      <c r="PIS48" s="159"/>
      <c r="PIT48" s="159"/>
      <c r="PIU48" s="159"/>
      <c r="PIV48" s="159"/>
      <c r="PIW48" s="159"/>
      <c r="PIX48" s="159"/>
      <c r="PIY48" s="159"/>
      <c r="PIZ48" s="159"/>
      <c r="PJA48" s="159"/>
      <c r="PJB48" s="159"/>
      <c r="PJC48" s="159"/>
      <c r="PJD48" s="159"/>
      <c r="PJE48" s="159"/>
      <c r="PJF48" s="159"/>
      <c r="PJG48" s="159"/>
      <c r="PJH48" s="159"/>
      <c r="PJI48" s="159"/>
      <c r="PJJ48" s="159"/>
      <c r="PJK48" s="159"/>
      <c r="PJL48" s="159"/>
      <c r="PJM48" s="159"/>
      <c r="PJN48" s="159"/>
      <c r="PJO48" s="159"/>
      <c r="PJP48" s="159"/>
      <c r="PJQ48" s="159"/>
      <c r="PJR48" s="159"/>
      <c r="PJS48" s="159"/>
      <c r="PJT48" s="159"/>
      <c r="PJU48" s="159"/>
      <c r="PJV48" s="159"/>
      <c r="PJW48" s="159"/>
      <c r="PJX48" s="159"/>
      <c r="PJY48" s="159"/>
      <c r="PJZ48" s="159"/>
      <c r="PKA48" s="159"/>
      <c r="PKB48" s="159"/>
      <c r="PKC48" s="159"/>
      <c r="PKD48" s="159"/>
      <c r="PKE48" s="159"/>
      <c r="PKF48" s="159"/>
      <c r="PKG48" s="159"/>
      <c r="PKH48" s="159"/>
      <c r="PKI48" s="159"/>
      <c r="PKJ48" s="159"/>
      <c r="PKK48" s="159"/>
      <c r="PKL48" s="159"/>
      <c r="PKM48" s="159"/>
      <c r="PKN48" s="159"/>
      <c r="PKO48" s="159"/>
      <c r="PKP48" s="159"/>
      <c r="PKQ48" s="159"/>
      <c r="PKR48" s="159"/>
      <c r="PKS48" s="159"/>
      <c r="PKT48" s="159"/>
      <c r="PKU48" s="159"/>
      <c r="PKV48" s="159"/>
      <c r="PKW48" s="159"/>
      <c r="PKX48" s="159"/>
      <c r="PKY48" s="159"/>
      <c r="PKZ48" s="159"/>
      <c r="PLA48" s="159"/>
      <c r="PLB48" s="159"/>
      <c r="PLC48" s="159"/>
      <c r="PLD48" s="159"/>
      <c r="PLE48" s="159"/>
      <c r="PLF48" s="159"/>
      <c r="PLG48" s="159"/>
      <c r="PLH48" s="159"/>
      <c r="PLI48" s="159"/>
      <c r="PLJ48" s="159"/>
      <c r="PLK48" s="159"/>
      <c r="PLL48" s="159"/>
      <c r="PLM48" s="159"/>
      <c r="PLN48" s="159"/>
      <c r="PLO48" s="159"/>
      <c r="PLP48" s="159"/>
      <c r="PLQ48" s="159"/>
      <c r="PLR48" s="159"/>
      <c r="PLS48" s="159"/>
      <c r="PLT48" s="159"/>
      <c r="PLU48" s="159"/>
      <c r="PLV48" s="159"/>
      <c r="PLW48" s="159"/>
      <c r="PLX48" s="159"/>
      <c r="PLY48" s="159"/>
      <c r="PLZ48" s="159"/>
      <c r="PMA48" s="159"/>
      <c r="PMB48" s="159"/>
      <c r="PMC48" s="159"/>
      <c r="PMD48" s="159"/>
      <c r="PME48" s="159"/>
      <c r="PMF48" s="159"/>
      <c r="PMG48" s="159"/>
      <c r="PMH48" s="159"/>
      <c r="PMI48" s="159"/>
      <c r="PMJ48" s="159"/>
      <c r="PMK48" s="159"/>
      <c r="PML48" s="159"/>
      <c r="PMM48" s="159"/>
      <c r="PMN48" s="159"/>
      <c r="PMO48" s="159"/>
      <c r="PMP48" s="159"/>
      <c r="PMQ48" s="159"/>
      <c r="PMR48" s="159"/>
      <c r="PMS48" s="159"/>
      <c r="PMT48" s="159"/>
      <c r="PMU48" s="159"/>
      <c r="PMV48" s="159"/>
      <c r="PMW48" s="159"/>
      <c r="PMX48" s="159"/>
      <c r="PMY48" s="159"/>
      <c r="PMZ48" s="159"/>
      <c r="PNA48" s="159"/>
      <c r="PNB48" s="159"/>
      <c r="PNC48" s="159"/>
      <c r="PND48" s="159"/>
      <c r="PNE48" s="159"/>
      <c r="PNF48" s="159"/>
      <c r="PNG48" s="159"/>
      <c r="PNH48" s="159"/>
      <c r="PNI48" s="159"/>
      <c r="PNJ48" s="159"/>
      <c r="PNK48" s="159"/>
      <c r="PNL48" s="159"/>
      <c r="PNM48" s="159"/>
      <c r="PNN48" s="159"/>
      <c r="PNO48" s="159"/>
      <c r="PNP48" s="159"/>
      <c r="PNQ48" s="159"/>
      <c r="PNR48" s="159"/>
      <c r="PNS48" s="159"/>
      <c r="PNT48" s="159"/>
      <c r="PNU48" s="159"/>
      <c r="PNV48" s="159"/>
      <c r="PNW48" s="159"/>
      <c r="PNX48" s="159"/>
      <c r="PNY48" s="159"/>
      <c r="PNZ48" s="159"/>
      <c r="POA48" s="159"/>
      <c r="POB48" s="159"/>
      <c r="POC48" s="159"/>
      <c r="POD48" s="159"/>
      <c r="POE48" s="159"/>
      <c r="POF48" s="159"/>
      <c r="POG48" s="159"/>
      <c r="POH48" s="159"/>
      <c r="POI48" s="159"/>
      <c r="POJ48" s="159"/>
      <c r="POK48" s="159"/>
      <c r="POL48" s="159"/>
      <c r="POM48" s="159"/>
      <c r="PON48" s="159"/>
      <c r="POO48" s="159"/>
      <c r="POP48" s="159"/>
      <c r="POQ48" s="159"/>
      <c r="POR48" s="159"/>
      <c r="POS48" s="159"/>
      <c r="POT48" s="159"/>
      <c r="POU48" s="159"/>
      <c r="POV48" s="159"/>
      <c r="POW48" s="159"/>
      <c r="POX48" s="159"/>
      <c r="POY48" s="159"/>
      <c r="POZ48" s="159"/>
      <c r="PPA48" s="159"/>
      <c r="PPB48" s="159"/>
      <c r="PPC48" s="159"/>
      <c r="PPD48" s="159"/>
      <c r="PPE48" s="159"/>
      <c r="PPF48" s="159"/>
      <c r="PPG48" s="159"/>
      <c r="PPH48" s="159"/>
      <c r="PPI48" s="159"/>
      <c r="PPJ48" s="159"/>
      <c r="PPK48" s="159"/>
      <c r="PPL48" s="159"/>
      <c r="PPM48" s="159"/>
      <c r="PPN48" s="159"/>
      <c r="PPO48" s="159"/>
      <c r="PPP48" s="159"/>
      <c r="PPQ48" s="159"/>
      <c r="PPR48" s="159"/>
      <c r="PPS48" s="159"/>
      <c r="PPT48" s="159"/>
      <c r="PPU48" s="159"/>
      <c r="PPV48" s="159"/>
      <c r="PPW48" s="159"/>
      <c r="PPX48" s="159"/>
      <c r="PPY48" s="159"/>
      <c r="PPZ48" s="159"/>
      <c r="PQA48" s="159"/>
      <c r="PQB48" s="159"/>
      <c r="PQC48" s="159"/>
      <c r="PQD48" s="159"/>
      <c r="PQE48" s="159"/>
      <c r="PQF48" s="159"/>
      <c r="PQG48" s="159"/>
      <c r="PQH48" s="159"/>
      <c r="PQI48" s="159"/>
      <c r="PQJ48" s="159"/>
      <c r="PQK48" s="159"/>
      <c r="PQL48" s="159"/>
      <c r="PQM48" s="159"/>
      <c r="PQN48" s="159"/>
      <c r="PQO48" s="159"/>
      <c r="PQP48" s="159"/>
      <c r="PQQ48" s="159"/>
      <c r="PQR48" s="159"/>
      <c r="PQS48" s="159"/>
      <c r="PQT48" s="159"/>
      <c r="PQU48" s="159"/>
      <c r="PQV48" s="159"/>
      <c r="PQW48" s="159"/>
      <c r="PQX48" s="159"/>
      <c r="PQY48" s="159"/>
      <c r="PQZ48" s="159"/>
      <c r="PRA48" s="159"/>
      <c r="PRB48" s="159"/>
      <c r="PRC48" s="159"/>
      <c r="PRD48" s="159"/>
      <c r="PRE48" s="159"/>
      <c r="PRF48" s="159"/>
      <c r="PRG48" s="159"/>
      <c r="PRH48" s="159"/>
      <c r="PRI48" s="159"/>
      <c r="PRJ48" s="159"/>
      <c r="PRK48" s="159"/>
      <c r="PRL48" s="159"/>
      <c r="PRM48" s="159"/>
      <c r="PRN48" s="159"/>
      <c r="PRO48" s="159"/>
      <c r="PRP48" s="159"/>
      <c r="PRQ48" s="159"/>
      <c r="PRR48" s="159"/>
      <c r="PRS48" s="159"/>
      <c r="PRT48" s="159"/>
      <c r="PRU48" s="159"/>
      <c r="PRV48" s="159"/>
      <c r="PRW48" s="159"/>
      <c r="PRX48" s="159"/>
      <c r="PRY48" s="159"/>
      <c r="PRZ48" s="159"/>
      <c r="PSA48" s="159"/>
      <c r="PSB48" s="159"/>
      <c r="PSC48" s="159"/>
      <c r="PSD48" s="159"/>
      <c r="PSE48" s="159"/>
      <c r="PSF48" s="159"/>
      <c r="PSG48" s="159"/>
      <c r="PSH48" s="159"/>
      <c r="PSI48" s="159"/>
      <c r="PSJ48" s="159"/>
      <c r="PSK48" s="159"/>
      <c r="PSL48" s="159"/>
      <c r="PSM48" s="159"/>
      <c r="PSN48" s="159"/>
      <c r="PSO48" s="159"/>
      <c r="PSP48" s="159"/>
      <c r="PSQ48" s="159"/>
      <c r="PSR48" s="159"/>
      <c r="PSS48" s="159"/>
      <c r="PST48" s="159"/>
      <c r="PSU48" s="159"/>
      <c r="PSV48" s="159"/>
      <c r="PSW48" s="159"/>
      <c r="PSX48" s="159"/>
      <c r="PSY48" s="159"/>
      <c r="PSZ48" s="159"/>
      <c r="PTA48" s="159"/>
      <c r="PTB48" s="159"/>
      <c r="PTC48" s="159"/>
      <c r="PTD48" s="159"/>
      <c r="PTE48" s="159"/>
      <c r="PTF48" s="159"/>
      <c r="PTG48" s="159"/>
      <c r="PTH48" s="159"/>
      <c r="PTI48" s="159"/>
      <c r="PTJ48" s="159"/>
      <c r="PTK48" s="159"/>
      <c r="PTL48" s="159"/>
      <c r="PTM48" s="159"/>
      <c r="PTN48" s="159"/>
      <c r="PTO48" s="159"/>
      <c r="PTP48" s="159"/>
      <c r="PTQ48" s="159"/>
      <c r="PTR48" s="159"/>
      <c r="PTS48" s="159"/>
      <c r="PTT48" s="159"/>
      <c r="PTU48" s="159"/>
      <c r="PTV48" s="159"/>
      <c r="PTW48" s="159"/>
      <c r="PTX48" s="159"/>
      <c r="PTY48" s="159"/>
      <c r="PTZ48" s="159"/>
      <c r="PUA48" s="159"/>
      <c r="PUB48" s="159"/>
      <c r="PUC48" s="159"/>
      <c r="PUD48" s="159"/>
      <c r="PUE48" s="159"/>
      <c r="PUF48" s="159"/>
      <c r="PUG48" s="159"/>
      <c r="PUH48" s="159"/>
      <c r="PUI48" s="159"/>
      <c r="PUJ48" s="159"/>
      <c r="PUK48" s="159"/>
      <c r="PUL48" s="159"/>
      <c r="PUM48" s="159"/>
      <c r="PUN48" s="159"/>
      <c r="PUO48" s="159"/>
      <c r="PUP48" s="159"/>
      <c r="PUQ48" s="159"/>
      <c r="PUR48" s="159"/>
      <c r="PUS48" s="159"/>
      <c r="PUT48" s="159"/>
      <c r="PUU48" s="159"/>
      <c r="PUV48" s="159"/>
      <c r="PUW48" s="159"/>
      <c r="PUX48" s="159"/>
      <c r="PUY48" s="159"/>
      <c r="PUZ48" s="159"/>
      <c r="PVA48" s="159"/>
      <c r="PVB48" s="159"/>
      <c r="PVC48" s="159"/>
      <c r="PVD48" s="159"/>
      <c r="PVE48" s="159"/>
      <c r="PVF48" s="159"/>
      <c r="PVG48" s="159"/>
      <c r="PVH48" s="159"/>
      <c r="PVI48" s="159"/>
      <c r="PVJ48" s="159"/>
      <c r="PVK48" s="159"/>
      <c r="PVL48" s="159"/>
      <c r="PVM48" s="159"/>
      <c r="PVN48" s="159"/>
      <c r="PVO48" s="159"/>
      <c r="PVP48" s="159"/>
      <c r="PVQ48" s="159"/>
      <c r="PVR48" s="159"/>
      <c r="PVS48" s="159"/>
      <c r="PVT48" s="159"/>
      <c r="PVU48" s="159"/>
      <c r="PVV48" s="159"/>
      <c r="PVW48" s="159"/>
      <c r="PVX48" s="159"/>
      <c r="PVY48" s="159"/>
      <c r="PVZ48" s="159"/>
      <c r="PWA48" s="159"/>
      <c r="PWB48" s="159"/>
      <c r="PWC48" s="159"/>
      <c r="PWD48" s="159"/>
      <c r="PWE48" s="159"/>
      <c r="PWF48" s="159"/>
      <c r="PWG48" s="159"/>
      <c r="PWH48" s="159"/>
      <c r="PWI48" s="159"/>
      <c r="PWJ48" s="159"/>
      <c r="PWK48" s="159"/>
      <c r="PWL48" s="159"/>
      <c r="PWM48" s="159"/>
      <c r="PWN48" s="159"/>
      <c r="PWO48" s="159"/>
      <c r="PWP48" s="159"/>
      <c r="PWQ48" s="159"/>
      <c r="PWR48" s="159"/>
      <c r="PWS48" s="159"/>
      <c r="PWT48" s="159"/>
      <c r="PWU48" s="159"/>
      <c r="PWV48" s="159"/>
      <c r="PWW48" s="159"/>
      <c r="PWX48" s="159"/>
      <c r="PWY48" s="159"/>
      <c r="PWZ48" s="159"/>
      <c r="PXA48" s="159"/>
      <c r="PXB48" s="159"/>
      <c r="PXC48" s="159"/>
      <c r="PXD48" s="159"/>
      <c r="PXE48" s="159"/>
      <c r="PXF48" s="159"/>
      <c r="PXG48" s="159"/>
      <c r="PXH48" s="159"/>
      <c r="PXI48" s="159"/>
      <c r="PXJ48" s="159"/>
      <c r="PXK48" s="159"/>
      <c r="PXL48" s="159"/>
      <c r="PXM48" s="159"/>
      <c r="PXN48" s="159"/>
      <c r="PXO48" s="159"/>
      <c r="PXP48" s="159"/>
      <c r="PXQ48" s="159"/>
      <c r="PXR48" s="159"/>
      <c r="PXS48" s="159"/>
      <c r="PXT48" s="159"/>
      <c r="PXU48" s="159"/>
      <c r="PXV48" s="159"/>
      <c r="PXW48" s="159"/>
      <c r="PXX48" s="159"/>
      <c r="PXY48" s="159"/>
      <c r="PXZ48" s="159"/>
      <c r="PYA48" s="159"/>
      <c r="PYB48" s="159"/>
      <c r="PYC48" s="159"/>
      <c r="PYD48" s="159"/>
      <c r="PYE48" s="159"/>
      <c r="PYF48" s="159"/>
      <c r="PYG48" s="159"/>
      <c r="PYH48" s="159"/>
      <c r="PYI48" s="159"/>
      <c r="PYJ48" s="159"/>
      <c r="PYK48" s="159"/>
      <c r="PYL48" s="159"/>
      <c r="PYM48" s="159"/>
      <c r="PYN48" s="159"/>
      <c r="PYO48" s="159"/>
      <c r="PYP48" s="159"/>
      <c r="PYQ48" s="159"/>
      <c r="PYR48" s="159"/>
      <c r="PYS48" s="159"/>
      <c r="PYT48" s="159"/>
      <c r="PYU48" s="159"/>
      <c r="PYV48" s="159"/>
      <c r="PYW48" s="159"/>
      <c r="PYX48" s="159"/>
      <c r="PYY48" s="159"/>
      <c r="PYZ48" s="159"/>
      <c r="PZA48" s="159"/>
      <c r="PZB48" s="159"/>
      <c r="PZC48" s="159"/>
      <c r="PZD48" s="159"/>
      <c r="PZE48" s="159"/>
      <c r="PZF48" s="159"/>
      <c r="PZG48" s="159"/>
      <c r="PZH48" s="159"/>
      <c r="PZI48" s="159"/>
      <c r="PZJ48" s="159"/>
      <c r="PZK48" s="159"/>
      <c r="PZL48" s="159"/>
      <c r="PZM48" s="159"/>
      <c r="PZN48" s="159"/>
      <c r="PZO48" s="159"/>
      <c r="PZP48" s="159"/>
      <c r="PZQ48" s="159"/>
      <c r="PZR48" s="159"/>
      <c r="PZS48" s="159"/>
      <c r="PZT48" s="159"/>
      <c r="PZU48" s="159"/>
      <c r="PZV48" s="159"/>
      <c r="PZW48" s="159"/>
      <c r="PZX48" s="159"/>
      <c r="PZY48" s="159"/>
      <c r="PZZ48" s="159"/>
      <c r="QAA48" s="159"/>
      <c r="QAB48" s="159"/>
      <c r="QAC48" s="159"/>
      <c r="QAD48" s="159"/>
      <c r="QAE48" s="159"/>
      <c r="QAF48" s="159"/>
      <c r="QAG48" s="159"/>
      <c r="QAH48" s="159"/>
      <c r="QAI48" s="159"/>
      <c r="QAJ48" s="159"/>
      <c r="QAK48" s="159"/>
      <c r="QAL48" s="159"/>
      <c r="QAM48" s="159"/>
      <c r="QAN48" s="159"/>
      <c r="QAO48" s="159"/>
      <c r="QAP48" s="159"/>
      <c r="QAQ48" s="159"/>
      <c r="QAR48" s="159"/>
      <c r="QAS48" s="159"/>
      <c r="QAT48" s="159"/>
      <c r="QAU48" s="159"/>
      <c r="QAV48" s="159"/>
      <c r="QAW48" s="159"/>
      <c r="QAX48" s="159"/>
      <c r="QAY48" s="159"/>
      <c r="QAZ48" s="159"/>
      <c r="QBA48" s="159"/>
      <c r="QBB48" s="159"/>
      <c r="QBC48" s="159"/>
      <c r="QBD48" s="159"/>
      <c r="QBE48" s="159"/>
      <c r="QBF48" s="159"/>
      <c r="QBG48" s="159"/>
      <c r="QBH48" s="159"/>
      <c r="QBI48" s="159"/>
      <c r="QBJ48" s="159"/>
      <c r="QBK48" s="159"/>
      <c r="QBL48" s="159"/>
      <c r="QBM48" s="159"/>
      <c r="QBN48" s="159"/>
      <c r="QBO48" s="159"/>
      <c r="QBP48" s="159"/>
      <c r="QBQ48" s="159"/>
      <c r="QBR48" s="159"/>
      <c r="QBS48" s="159"/>
      <c r="QBT48" s="159"/>
      <c r="QBU48" s="159"/>
      <c r="QBV48" s="159"/>
      <c r="QBW48" s="159"/>
      <c r="QBX48" s="159"/>
      <c r="QBY48" s="159"/>
      <c r="QBZ48" s="159"/>
      <c r="QCA48" s="159"/>
      <c r="QCB48" s="159"/>
      <c r="QCC48" s="159"/>
      <c r="QCD48" s="159"/>
      <c r="QCE48" s="159"/>
      <c r="QCF48" s="159"/>
      <c r="QCG48" s="159"/>
      <c r="QCH48" s="159"/>
      <c r="QCI48" s="159"/>
      <c r="QCJ48" s="159"/>
      <c r="QCK48" s="159"/>
      <c r="QCL48" s="159"/>
      <c r="QCM48" s="159"/>
      <c r="QCN48" s="159"/>
      <c r="QCO48" s="159"/>
      <c r="QCP48" s="159"/>
      <c r="QCQ48" s="159"/>
      <c r="QCR48" s="159"/>
      <c r="QCS48" s="159"/>
      <c r="QCT48" s="159"/>
      <c r="QCU48" s="159"/>
      <c r="QCV48" s="159"/>
      <c r="QCW48" s="159"/>
      <c r="QCX48" s="159"/>
      <c r="QCY48" s="159"/>
      <c r="QCZ48" s="159"/>
      <c r="QDA48" s="159"/>
      <c r="QDB48" s="159"/>
      <c r="QDC48" s="159"/>
      <c r="QDD48" s="159"/>
      <c r="QDE48" s="159"/>
      <c r="QDF48" s="159"/>
      <c r="QDG48" s="159"/>
      <c r="QDH48" s="159"/>
      <c r="QDI48" s="159"/>
      <c r="QDJ48" s="159"/>
      <c r="QDK48" s="159"/>
      <c r="QDL48" s="159"/>
      <c r="QDM48" s="159"/>
      <c r="QDN48" s="159"/>
      <c r="QDO48" s="159"/>
      <c r="QDP48" s="159"/>
      <c r="QDQ48" s="159"/>
      <c r="QDR48" s="159"/>
      <c r="QDS48" s="159"/>
      <c r="QDT48" s="159"/>
      <c r="QDU48" s="159"/>
      <c r="QDV48" s="159"/>
      <c r="QDW48" s="159"/>
      <c r="QDX48" s="159"/>
      <c r="QDY48" s="159"/>
      <c r="QDZ48" s="159"/>
      <c r="QEA48" s="159"/>
      <c r="QEB48" s="159"/>
      <c r="QEC48" s="159"/>
      <c r="QED48" s="159"/>
      <c r="QEE48" s="159"/>
      <c r="QEF48" s="159"/>
      <c r="QEG48" s="159"/>
      <c r="QEH48" s="159"/>
      <c r="QEI48" s="159"/>
      <c r="QEJ48" s="159"/>
      <c r="QEK48" s="159"/>
      <c r="QEL48" s="159"/>
      <c r="QEM48" s="159"/>
      <c r="QEN48" s="159"/>
      <c r="QEO48" s="159"/>
      <c r="QEP48" s="159"/>
      <c r="QEQ48" s="159"/>
      <c r="QER48" s="159"/>
      <c r="QES48" s="159"/>
      <c r="QET48" s="159"/>
      <c r="QEU48" s="159"/>
      <c r="QEV48" s="159"/>
      <c r="QEW48" s="159"/>
      <c r="QEX48" s="159"/>
      <c r="QEY48" s="159"/>
      <c r="QEZ48" s="159"/>
      <c r="QFA48" s="159"/>
      <c r="QFB48" s="159"/>
      <c r="QFC48" s="159"/>
      <c r="QFD48" s="159"/>
      <c r="QFE48" s="159"/>
      <c r="QFF48" s="159"/>
      <c r="QFG48" s="159"/>
      <c r="QFH48" s="159"/>
      <c r="QFI48" s="159"/>
      <c r="QFJ48" s="159"/>
      <c r="QFK48" s="159"/>
      <c r="QFL48" s="159"/>
      <c r="QFM48" s="159"/>
      <c r="QFN48" s="159"/>
      <c r="QFO48" s="159"/>
      <c r="QFP48" s="159"/>
      <c r="QFQ48" s="159"/>
      <c r="QFR48" s="159"/>
      <c r="QFS48" s="159"/>
      <c r="QFT48" s="159"/>
      <c r="QFU48" s="159"/>
      <c r="QFV48" s="159"/>
      <c r="QFW48" s="159"/>
      <c r="QFX48" s="159"/>
      <c r="QFY48" s="159"/>
      <c r="QFZ48" s="159"/>
      <c r="QGA48" s="159"/>
      <c r="QGB48" s="159"/>
      <c r="QGC48" s="159"/>
      <c r="QGD48" s="159"/>
      <c r="QGE48" s="159"/>
      <c r="QGF48" s="159"/>
      <c r="QGG48" s="159"/>
      <c r="QGH48" s="159"/>
      <c r="QGI48" s="159"/>
      <c r="QGJ48" s="159"/>
      <c r="QGK48" s="159"/>
      <c r="QGL48" s="159"/>
      <c r="QGM48" s="159"/>
      <c r="QGN48" s="159"/>
      <c r="QGO48" s="159"/>
      <c r="QGP48" s="159"/>
      <c r="QGQ48" s="159"/>
      <c r="QGR48" s="159"/>
      <c r="QGS48" s="159"/>
      <c r="QGT48" s="159"/>
      <c r="QGU48" s="159"/>
      <c r="QGV48" s="159"/>
      <c r="QGW48" s="159"/>
      <c r="QGX48" s="159"/>
      <c r="QGY48" s="159"/>
      <c r="QGZ48" s="159"/>
      <c r="QHA48" s="159"/>
      <c r="QHB48" s="159"/>
      <c r="QHC48" s="159"/>
      <c r="QHD48" s="159"/>
      <c r="QHE48" s="159"/>
      <c r="QHF48" s="159"/>
      <c r="QHG48" s="159"/>
      <c r="QHH48" s="159"/>
      <c r="QHI48" s="159"/>
      <c r="QHJ48" s="159"/>
      <c r="QHK48" s="159"/>
      <c r="QHL48" s="159"/>
      <c r="QHM48" s="159"/>
      <c r="QHN48" s="159"/>
      <c r="QHO48" s="159"/>
      <c r="QHP48" s="159"/>
      <c r="QHQ48" s="159"/>
      <c r="QHR48" s="159"/>
      <c r="QHS48" s="159"/>
      <c r="QHT48" s="159"/>
      <c r="QHU48" s="159"/>
      <c r="QHV48" s="159"/>
      <c r="QHW48" s="159"/>
      <c r="QHX48" s="159"/>
      <c r="QHY48" s="159"/>
      <c r="QHZ48" s="159"/>
      <c r="QIA48" s="159"/>
      <c r="QIB48" s="159"/>
      <c r="QIC48" s="159"/>
      <c r="QID48" s="159"/>
      <c r="QIE48" s="159"/>
      <c r="QIF48" s="159"/>
      <c r="QIG48" s="159"/>
      <c r="QIH48" s="159"/>
      <c r="QII48" s="159"/>
      <c r="QIJ48" s="159"/>
      <c r="QIK48" s="159"/>
      <c r="QIL48" s="159"/>
      <c r="QIM48" s="159"/>
      <c r="QIN48" s="159"/>
      <c r="QIO48" s="159"/>
      <c r="QIP48" s="159"/>
      <c r="QIQ48" s="159"/>
      <c r="QIR48" s="159"/>
      <c r="QIS48" s="159"/>
      <c r="QIT48" s="159"/>
      <c r="QIU48" s="159"/>
      <c r="QIV48" s="159"/>
      <c r="QIW48" s="159"/>
      <c r="QIX48" s="159"/>
      <c r="QIY48" s="159"/>
      <c r="QIZ48" s="159"/>
      <c r="QJA48" s="159"/>
      <c r="QJB48" s="159"/>
      <c r="QJC48" s="159"/>
      <c r="QJD48" s="159"/>
      <c r="QJE48" s="159"/>
      <c r="QJF48" s="159"/>
      <c r="QJG48" s="159"/>
      <c r="QJH48" s="159"/>
      <c r="QJI48" s="159"/>
      <c r="QJJ48" s="159"/>
      <c r="QJK48" s="159"/>
      <c r="QJL48" s="159"/>
      <c r="QJM48" s="159"/>
      <c r="QJN48" s="159"/>
      <c r="QJO48" s="159"/>
      <c r="QJP48" s="159"/>
      <c r="QJQ48" s="159"/>
      <c r="QJR48" s="159"/>
      <c r="QJS48" s="159"/>
      <c r="QJT48" s="159"/>
      <c r="QJU48" s="159"/>
      <c r="QJV48" s="159"/>
      <c r="QJW48" s="159"/>
      <c r="QJX48" s="159"/>
      <c r="QJY48" s="159"/>
      <c r="QJZ48" s="159"/>
      <c r="QKA48" s="159"/>
      <c r="QKB48" s="159"/>
      <c r="QKC48" s="159"/>
      <c r="QKD48" s="159"/>
      <c r="QKE48" s="159"/>
      <c r="QKF48" s="159"/>
      <c r="QKG48" s="159"/>
      <c r="QKH48" s="159"/>
      <c r="QKI48" s="159"/>
      <c r="QKJ48" s="159"/>
      <c r="QKK48" s="159"/>
      <c r="QKL48" s="159"/>
      <c r="QKM48" s="159"/>
      <c r="QKN48" s="159"/>
      <c r="QKO48" s="159"/>
      <c r="QKP48" s="159"/>
      <c r="QKQ48" s="159"/>
      <c r="QKR48" s="159"/>
      <c r="QKS48" s="159"/>
      <c r="QKT48" s="159"/>
      <c r="QKU48" s="159"/>
      <c r="QKV48" s="159"/>
      <c r="QKW48" s="159"/>
      <c r="QKX48" s="159"/>
      <c r="QKY48" s="159"/>
      <c r="QKZ48" s="159"/>
      <c r="QLA48" s="159"/>
      <c r="QLB48" s="159"/>
      <c r="QLC48" s="159"/>
      <c r="QLD48" s="159"/>
      <c r="QLE48" s="159"/>
      <c r="QLF48" s="159"/>
      <c r="QLG48" s="159"/>
      <c r="QLH48" s="159"/>
      <c r="QLI48" s="159"/>
      <c r="QLJ48" s="159"/>
      <c r="QLK48" s="159"/>
      <c r="QLL48" s="159"/>
      <c r="QLM48" s="159"/>
      <c r="QLN48" s="159"/>
      <c r="QLO48" s="159"/>
      <c r="QLP48" s="159"/>
      <c r="QLQ48" s="159"/>
      <c r="QLR48" s="159"/>
      <c r="QLS48" s="159"/>
      <c r="QLT48" s="159"/>
      <c r="QLU48" s="159"/>
      <c r="QLV48" s="159"/>
      <c r="QLW48" s="159"/>
      <c r="QLX48" s="159"/>
      <c r="QLY48" s="159"/>
      <c r="QLZ48" s="159"/>
      <c r="QMA48" s="159"/>
      <c r="QMB48" s="159"/>
      <c r="QMC48" s="159"/>
      <c r="QMD48" s="159"/>
      <c r="QME48" s="159"/>
      <c r="QMF48" s="159"/>
      <c r="QMG48" s="159"/>
      <c r="QMH48" s="159"/>
      <c r="QMI48" s="159"/>
      <c r="QMJ48" s="159"/>
      <c r="QMK48" s="159"/>
      <c r="QML48" s="159"/>
      <c r="QMM48" s="159"/>
      <c r="QMN48" s="159"/>
      <c r="QMO48" s="159"/>
      <c r="QMP48" s="159"/>
      <c r="QMQ48" s="159"/>
      <c r="QMR48" s="159"/>
      <c r="QMS48" s="159"/>
      <c r="QMT48" s="159"/>
      <c r="QMU48" s="159"/>
      <c r="QMV48" s="159"/>
      <c r="QMW48" s="159"/>
      <c r="QMX48" s="159"/>
      <c r="QMY48" s="159"/>
      <c r="QMZ48" s="159"/>
      <c r="QNA48" s="159"/>
      <c r="QNB48" s="159"/>
      <c r="QNC48" s="159"/>
      <c r="QND48" s="159"/>
      <c r="QNE48" s="159"/>
      <c r="QNF48" s="159"/>
      <c r="QNG48" s="159"/>
      <c r="QNH48" s="159"/>
      <c r="QNI48" s="159"/>
      <c r="QNJ48" s="159"/>
      <c r="QNK48" s="159"/>
      <c r="QNL48" s="159"/>
      <c r="QNM48" s="159"/>
      <c r="QNN48" s="159"/>
      <c r="QNO48" s="159"/>
      <c r="QNP48" s="159"/>
      <c r="QNQ48" s="159"/>
      <c r="QNR48" s="159"/>
      <c r="QNS48" s="159"/>
      <c r="QNT48" s="159"/>
      <c r="QNU48" s="159"/>
      <c r="QNV48" s="159"/>
      <c r="QNW48" s="159"/>
      <c r="QNX48" s="159"/>
      <c r="QNY48" s="159"/>
      <c r="QNZ48" s="159"/>
      <c r="QOA48" s="159"/>
      <c r="QOB48" s="159"/>
      <c r="QOC48" s="159"/>
      <c r="QOD48" s="159"/>
      <c r="QOE48" s="159"/>
      <c r="QOF48" s="159"/>
      <c r="QOG48" s="159"/>
      <c r="QOH48" s="159"/>
      <c r="QOI48" s="159"/>
      <c r="QOJ48" s="159"/>
      <c r="QOK48" s="159"/>
      <c r="QOL48" s="159"/>
      <c r="QOM48" s="159"/>
      <c r="QON48" s="159"/>
      <c r="QOO48" s="159"/>
      <c r="QOP48" s="159"/>
      <c r="QOQ48" s="159"/>
      <c r="QOR48" s="159"/>
      <c r="QOS48" s="159"/>
      <c r="QOT48" s="159"/>
      <c r="QOU48" s="159"/>
      <c r="QOV48" s="159"/>
      <c r="QOW48" s="159"/>
      <c r="QOX48" s="159"/>
      <c r="QOY48" s="159"/>
      <c r="QOZ48" s="159"/>
      <c r="QPA48" s="159"/>
      <c r="QPB48" s="159"/>
      <c r="QPC48" s="159"/>
      <c r="QPD48" s="159"/>
      <c r="QPE48" s="159"/>
      <c r="QPF48" s="159"/>
      <c r="QPG48" s="159"/>
      <c r="QPH48" s="159"/>
      <c r="QPI48" s="159"/>
      <c r="QPJ48" s="159"/>
      <c r="QPK48" s="159"/>
      <c r="QPL48" s="159"/>
      <c r="QPM48" s="159"/>
      <c r="QPN48" s="159"/>
      <c r="QPO48" s="159"/>
      <c r="QPP48" s="159"/>
      <c r="QPQ48" s="159"/>
      <c r="QPR48" s="159"/>
      <c r="QPS48" s="159"/>
      <c r="QPT48" s="159"/>
      <c r="QPU48" s="159"/>
      <c r="QPV48" s="159"/>
      <c r="QPW48" s="159"/>
      <c r="QPX48" s="159"/>
      <c r="QPY48" s="159"/>
      <c r="QPZ48" s="159"/>
      <c r="QQA48" s="159"/>
      <c r="QQB48" s="159"/>
      <c r="QQC48" s="159"/>
      <c r="QQD48" s="159"/>
      <c r="QQE48" s="159"/>
      <c r="QQF48" s="159"/>
      <c r="QQG48" s="159"/>
      <c r="QQH48" s="159"/>
      <c r="QQI48" s="159"/>
      <c r="QQJ48" s="159"/>
      <c r="QQK48" s="159"/>
      <c r="QQL48" s="159"/>
      <c r="QQM48" s="159"/>
      <c r="QQN48" s="159"/>
      <c r="QQO48" s="159"/>
      <c r="QQP48" s="159"/>
      <c r="QQQ48" s="159"/>
      <c r="QQR48" s="159"/>
      <c r="QQS48" s="159"/>
      <c r="QQT48" s="159"/>
      <c r="QQU48" s="159"/>
      <c r="QQV48" s="159"/>
      <c r="QQW48" s="159"/>
      <c r="QQX48" s="159"/>
      <c r="QQY48" s="159"/>
      <c r="QQZ48" s="159"/>
      <c r="QRA48" s="159"/>
      <c r="QRB48" s="159"/>
      <c r="QRC48" s="159"/>
      <c r="QRD48" s="159"/>
      <c r="QRE48" s="159"/>
      <c r="QRF48" s="159"/>
      <c r="QRG48" s="159"/>
      <c r="QRH48" s="159"/>
      <c r="QRI48" s="159"/>
      <c r="QRJ48" s="159"/>
      <c r="QRK48" s="159"/>
      <c r="QRL48" s="159"/>
      <c r="QRM48" s="159"/>
      <c r="QRN48" s="159"/>
      <c r="QRO48" s="159"/>
      <c r="QRP48" s="159"/>
      <c r="QRQ48" s="159"/>
      <c r="QRR48" s="159"/>
      <c r="QRS48" s="159"/>
      <c r="QRT48" s="159"/>
      <c r="QRU48" s="159"/>
      <c r="QRV48" s="159"/>
      <c r="QRW48" s="159"/>
      <c r="QRX48" s="159"/>
      <c r="QRY48" s="159"/>
      <c r="QRZ48" s="159"/>
      <c r="QSA48" s="159"/>
      <c r="QSB48" s="159"/>
      <c r="QSC48" s="159"/>
      <c r="QSD48" s="159"/>
      <c r="QSE48" s="159"/>
      <c r="QSF48" s="159"/>
      <c r="QSG48" s="159"/>
      <c r="QSH48" s="159"/>
      <c r="QSI48" s="159"/>
      <c r="QSJ48" s="159"/>
      <c r="QSK48" s="159"/>
      <c r="QSL48" s="159"/>
      <c r="QSM48" s="159"/>
      <c r="QSN48" s="159"/>
      <c r="QSO48" s="159"/>
      <c r="QSP48" s="159"/>
      <c r="QSQ48" s="159"/>
      <c r="QSR48" s="159"/>
      <c r="QSS48" s="159"/>
      <c r="QST48" s="159"/>
      <c r="QSU48" s="159"/>
      <c r="QSV48" s="159"/>
      <c r="QSW48" s="159"/>
      <c r="QSX48" s="159"/>
      <c r="QSY48" s="159"/>
      <c r="QSZ48" s="159"/>
      <c r="QTA48" s="159"/>
      <c r="QTB48" s="159"/>
      <c r="QTC48" s="159"/>
      <c r="QTD48" s="159"/>
      <c r="QTE48" s="159"/>
      <c r="QTF48" s="159"/>
      <c r="QTG48" s="159"/>
      <c r="QTH48" s="159"/>
      <c r="QTI48" s="159"/>
      <c r="QTJ48" s="159"/>
      <c r="QTK48" s="159"/>
      <c r="QTL48" s="159"/>
      <c r="QTM48" s="159"/>
      <c r="QTN48" s="159"/>
      <c r="QTO48" s="159"/>
      <c r="QTP48" s="159"/>
      <c r="QTQ48" s="159"/>
      <c r="QTR48" s="159"/>
      <c r="QTS48" s="159"/>
      <c r="QTT48" s="159"/>
      <c r="QTU48" s="159"/>
      <c r="QTV48" s="159"/>
      <c r="QTW48" s="159"/>
      <c r="QTX48" s="159"/>
      <c r="QTY48" s="159"/>
      <c r="QTZ48" s="159"/>
      <c r="QUA48" s="159"/>
      <c r="QUB48" s="159"/>
      <c r="QUC48" s="159"/>
      <c r="QUD48" s="159"/>
      <c r="QUE48" s="159"/>
      <c r="QUF48" s="159"/>
      <c r="QUG48" s="159"/>
      <c r="QUH48" s="159"/>
      <c r="QUI48" s="159"/>
      <c r="QUJ48" s="159"/>
      <c r="QUK48" s="159"/>
      <c r="QUL48" s="159"/>
      <c r="QUM48" s="159"/>
      <c r="QUN48" s="159"/>
      <c r="QUO48" s="159"/>
      <c r="QUP48" s="159"/>
      <c r="QUQ48" s="159"/>
      <c r="QUR48" s="159"/>
      <c r="QUS48" s="159"/>
      <c r="QUT48" s="159"/>
      <c r="QUU48" s="159"/>
      <c r="QUV48" s="159"/>
      <c r="QUW48" s="159"/>
      <c r="QUX48" s="159"/>
      <c r="QUY48" s="159"/>
      <c r="QUZ48" s="159"/>
      <c r="QVA48" s="159"/>
      <c r="QVB48" s="159"/>
      <c r="QVC48" s="159"/>
      <c r="QVD48" s="159"/>
      <c r="QVE48" s="159"/>
      <c r="QVF48" s="159"/>
      <c r="QVG48" s="159"/>
      <c r="QVH48" s="159"/>
      <c r="QVI48" s="159"/>
      <c r="QVJ48" s="159"/>
      <c r="QVK48" s="159"/>
      <c r="QVL48" s="159"/>
      <c r="QVM48" s="159"/>
      <c r="QVN48" s="159"/>
      <c r="QVO48" s="159"/>
      <c r="QVP48" s="159"/>
      <c r="QVQ48" s="159"/>
      <c r="QVR48" s="159"/>
      <c r="QVS48" s="159"/>
      <c r="QVT48" s="159"/>
      <c r="QVU48" s="159"/>
      <c r="QVV48" s="159"/>
      <c r="QVW48" s="159"/>
      <c r="QVX48" s="159"/>
      <c r="QVY48" s="159"/>
      <c r="QVZ48" s="159"/>
      <c r="QWA48" s="159"/>
      <c r="QWB48" s="159"/>
      <c r="QWC48" s="159"/>
      <c r="QWD48" s="159"/>
      <c r="QWE48" s="159"/>
      <c r="QWF48" s="159"/>
      <c r="QWG48" s="159"/>
      <c r="QWH48" s="159"/>
      <c r="QWI48" s="159"/>
      <c r="QWJ48" s="159"/>
      <c r="QWK48" s="159"/>
      <c r="QWL48" s="159"/>
      <c r="QWM48" s="159"/>
      <c r="QWN48" s="159"/>
      <c r="QWO48" s="159"/>
      <c r="QWP48" s="159"/>
      <c r="QWQ48" s="159"/>
      <c r="QWR48" s="159"/>
      <c r="QWS48" s="159"/>
      <c r="QWT48" s="159"/>
      <c r="QWU48" s="159"/>
      <c r="QWV48" s="159"/>
      <c r="QWW48" s="159"/>
      <c r="QWX48" s="159"/>
      <c r="QWY48" s="159"/>
      <c r="QWZ48" s="159"/>
      <c r="QXA48" s="159"/>
      <c r="QXB48" s="159"/>
      <c r="QXC48" s="159"/>
      <c r="QXD48" s="159"/>
      <c r="QXE48" s="159"/>
      <c r="QXF48" s="159"/>
      <c r="QXG48" s="159"/>
      <c r="QXH48" s="159"/>
      <c r="QXI48" s="159"/>
      <c r="QXJ48" s="159"/>
      <c r="QXK48" s="159"/>
      <c r="QXL48" s="159"/>
      <c r="QXM48" s="159"/>
      <c r="QXN48" s="159"/>
      <c r="QXO48" s="159"/>
      <c r="QXP48" s="159"/>
      <c r="QXQ48" s="159"/>
      <c r="QXR48" s="159"/>
      <c r="QXS48" s="159"/>
      <c r="QXT48" s="159"/>
      <c r="QXU48" s="159"/>
      <c r="QXV48" s="159"/>
      <c r="QXW48" s="159"/>
      <c r="QXX48" s="159"/>
      <c r="QXY48" s="159"/>
      <c r="QXZ48" s="159"/>
      <c r="QYA48" s="159"/>
      <c r="QYB48" s="159"/>
      <c r="QYC48" s="159"/>
      <c r="QYD48" s="159"/>
      <c r="QYE48" s="159"/>
      <c r="QYF48" s="159"/>
      <c r="QYG48" s="159"/>
      <c r="QYH48" s="159"/>
      <c r="QYI48" s="159"/>
      <c r="QYJ48" s="159"/>
      <c r="QYK48" s="159"/>
      <c r="QYL48" s="159"/>
      <c r="QYM48" s="159"/>
      <c r="QYN48" s="159"/>
      <c r="QYO48" s="159"/>
      <c r="QYP48" s="159"/>
      <c r="QYQ48" s="159"/>
      <c r="QYR48" s="159"/>
      <c r="QYS48" s="159"/>
      <c r="QYT48" s="159"/>
      <c r="QYU48" s="159"/>
      <c r="QYV48" s="159"/>
      <c r="QYW48" s="159"/>
      <c r="QYX48" s="159"/>
      <c r="QYY48" s="159"/>
      <c r="QYZ48" s="159"/>
      <c r="QZA48" s="159"/>
      <c r="QZB48" s="159"/>
      <c r="QZC48" s="159"/>
      <c r="QZD48" s="159"/>
      <c r="QZE48" s="159"/>
      <c r="QZF48" s="159"/>
      <c r="QZG48" s="159"/>
      <c r="QZH48" s="159"/>
      <c r="QZI48" s="159"/>
      <c r="QZJ48" s="159"/>
      <c r="QZK48" s="159"/>
      <c r="QZL48" s="159"/>
      <c r="QZM48" s="159"/>
      <c r="QZN48" s="159"/>
      <c r="QZO48" s="159"/>
      <c r="QZP48" s="159"/>
      <c r="QZQ48" s="159"/>
      <c r="QZR48" s="159"/>
      <c r="QZS48" s="159"/>
      <c r="QZT48" s="159"/>
      <c r="QZU48" s="159"/>
      <c r="QZV48" s="159"/>
      <c r="QZW48" s="159"/>
      <c r="QZX48" s="159"/>
      <c r="QZY48" s="159"/>
      <c r="QZZ48" s="159"/>
      <c r="RAA48" s="159"/>
      <c r="RAB48" s="159"/>
      <c r="RAC48" s="159"/>
      <c r="RAD48" s="159"/>
      <c r="RAE48" s="159"/>
      <c r="RAF48" s="159"/>
      <c r="RAG48" s="159"/>
      <c r="RAH48" s="159"/>
      <c r="RAI48" s="159"/>
      <c r="RAJ48" s="159"/>
      <c r="RAK48" s="159"/>
      <c r="RAL48" s="159"/>
      <c r="RAM48" s="159"/>
      <c r="RAN48" s="159"/>
      <c r="RAO48" s="159"/>
      <c r="RAP48" s="159"/>
      <c r="RAQ48" s="159"/>
      <c r="RAR48" s="159"/>
      <c r="RAS48" s="159"/>
      <c r="RAT48" s="159"/>
      <c r="RAU48" s="159"/>
      <c r="RAV48" s="159"/>
      <c r="RAW48" s="159"/>
      <c r="RAX48" s="159"/>
      <c r="RAY48" s="159"/>
      <c r="RAZ48" s="159"/>
      <c r="RBA48" s="159"/>
      <c r="RBB48" s="159"/>
      <c r="RBC48" s="159"/>
      <c r="RBD48" s="159"/>
      <c r="RBE48" s="159"/>
      <c r="RBF48" s="159"/>
      <c r="RBG48" s="159"/>
      <c r="RBH48" s="159"/>
      <c r="RBI48" s="159"/>
      <c r="RBJ48" s="159"/>
      <c r="RBK48" s="159"/>
      <c r="RBL48" s="159"/>
      <c r="RBM48" s="159"/>
      <c r="RBN48" s="159"/>
      <c r="RBO48" s="159"/>
      <c r="RBP48" s="159"/>
      <c r="RBQ48" s="159"/>
      <c r="RBR48" s="159"/>
      <c r="RBS48" s="159"/>
      <c r="RBT48" s="159"/>
      <c r="RBU48" s="159"/>
      <c r="RBV48" s="159"/>
      <c r="RBW48" s="159"/>
      <c r="RBX48" s="159"/>
      <c r="RBY48" s="159"/>
      <c r="RBZ48" s="159"/>
      <c r="RCA48" s="159"/>
      <c r="RCB48" s="159"/>
      <c r="RCC48" s="159"/>
      <c r="RCD48" s="159"/>
      <c r="RCE48" s="159"/>
      <c r="RCF48" s="159"/>
      <c r="RCG48" s="159"/>
      <c r="RCH48" s="159"/>
      <c r="RCI48" s="159"/>
      <c r="RCJ48" s="159"/>
      <c r="RCK48" s="159"/>
      <c r="RCL48" s="159"/>
      <c r="RCM48" s="159"/>
      <c r="RCN48" s="159"/>
      <c r="RCO48" s="159"/>
      <c r="RCP48" s="159"/>
      <c r="RCQ48" s="159"/>
      <c r="RCR48" s="159"/>
      <c r="RCS48" s="159"/>
      <c r="RCT48" s="159"/>
      <c r="RCU48" s="159"/>
      <c r="RCV48" s="159"/>
      <c r="RCW48" s="159"/>
      <c r="RCX48" s="159"/>
      <c r="RCY48" s="159"/>
      <c r="RCZ48" s="159"/>
      <c r="RDA48" s="159"/>
      <c r="RDB48" s="159"/>
      <c r="RDC48" s="159"/>
      <c r="RDD48" s="159"/>
      <c r="RDE48" s="159"/>
      <c r="RDF48" s="159"/>
      <c r="RDG48" s="159"/>
      <c r="RDH48" s="159"/>
      <c r="RDI48" s="159"/>
      <c r="RDJ48" s="159"/>
      <c r="RDK48" s="159"/>
      <c r="RDL48" s="159"/>
      <c r="RDM48" s="159"/>
      <c r="RDN48" s="159"/>
      <c r="RDO48" s="159"/>
      <c r="RDP48" s="159"/>
      <c r="RDQ48" s="159"/>
      <c r="RDR48" s="159"/>
      <c r="RDS48" s="159"/>
      <c r="RDT48" s="159"/>
      <c r="RDU48" s="159"/>
      <c r="RDV48" s="159"/>
      <c r="RDW48" s="159"/>
      <c r="RDX48" s="159"/>
      <c r="RDY48" s="159"/>
      <c r="RDZ48" s="159"/>
      <c r="REA48" s="159"/>
      <c r="REB48" s="159"/>
      <c r="REC48" s="159"/>
      <c r="RED48" s="159"/>
      <c r="REE48" s="159"/>
      <c r="REF48" s="159"/>
      <c r="REG48" s="159"/>
      <c r="REH48" s="159"/>
      <c r="REI48" s="159"/>
      <c r="REJ48" s="159"/>
      <c r="REK48" s="159"/>
      <c r="REL48" s="159"/>
      <c r="REM48" s="159"/>
      <c r="REN48" s="159"/>
      <c r="REO48" s="159"/>
      <c r="REP48" s="159"/>
      <c r="REQ48" s="159"/>
      <c r="RER48" s="159"/>
      <c r="RES48" s="159"/>
      <c r="RET48" s="159"/>
      <c r="REU48" s="159"/>
      <c r="REV48" s="159"/>
      <c r="REW48" s="159"/>
      <c r="REX48" s="159"/>
      <c r="REY48" s="159"/>
      <c r="REZ48" s="159"/>
      <c r="RFA48" s="159"/>
      <c r="RFB48" s="159"/>
      <c r="RFC48" s="159"/>
      <c r="RFD48" s="159"/>
      <c r="RFE48" s="159"/>
      <c r="RFF48" s="159"/>
      <c r="RFG48" s="159"/>
      <c r="RFH48" s="159"/>
      <c r="RFI48" s="159"/>
      <c r="RFJ48" s="159"/>
      <c r="RFK48" s="159"/>
      <c r="RFL48" s="159"/>
      <c r="RFM48" s="159"/>
      <c r="RFN48" s="159"/>
      <c r="RFO48" s="159"/>
      <c r="RFP48" s="159"/>
      <c r="RFQ48" s="159"/>
      <c r="RFR48" s="159"/>
      <c r="RFS48" s="159"/>
      <c r="RFT48" s="159"/>
      <c r="RFU48" s="159"/>
      <c r="RFV48" s="159"/>
      <c r="RFW48" s="159"/>
      <c r="RFX48" s="159"/>
      <c r="RFY48" s="159"/>
      <c r="RFZ48" s="159"/>
      <c r="RGA48" s="159"/>
      <c r="RGB48" s="159"/>
      <c r="RGC48" s="159"/>
      <c r="RGD48" s="159"/>
      <c r="RGE48" s="159"/>
      <c r="RGF48" s="159"/>
      <c r="RGG48" s="159"/>
      <c r="RGH48" s="159"/>
      <c r="RGI48" s="159"/>
      <c r="RGJ48" s="159"/>
      <c r="RGK48" s="159"/>
      <c r="RGL48" s="159"/>
      <c r="RGM48" s="159"/>
      <c r="RGN48" s="159"/>
      <c r="RGO48" s="159"/>
      <c r="RGP48" s="159"/>
      <c r="RGQ48" s="159"/>
      <c r="RGR48" s="159"/>
      <c r="RGS48" s="159"/>
      <c r="RGT48" s="159"/>
      <c r="RGU48" s="159"/>
      <c r="RGV48" s="159"/>
      <c r="RGW48" s="159"/>
      <c r="RGX48" s="159"/>
      <c r="RGY48" s="159"/>
      <c r="RGZ48" s="159"/>
      <c r="RHA48" s="159"/>
      <c r="RHB48" s="159"/>
      <c r="RHC48" s="159"/>
      <c r="RHD48" s="159"/>
      <c r="RHE48" s="159"/>
      <c r="RHF48" s="159"/>
      <c r="RHG48" s="159"/>
      <c r="RHH48" s="159"/>
      <c r="RHI48" s="159"/>
      <c r="RHJ48" s="159"/>
      <c r="RHK48" s="159"/>
      <c r="RHL48" s="159"/>
      <c r="RHM48" s="159"/>
      <c r="RHN48" s="159"/>
      <c r="RHO48" s="159"/>
      <c r="RHP48" s="159"/>
      <c r="RHQ48" s="159"/>
      <c r="RHR48" s="159"/>
      <c r="RHS48" s="159"/>
      <c r="RHT48" s="159"/>
      <c r="RHU48" s="159"/>
      <c r="RHV48" s="159"/>
      <c r="RHW48" s="159"/>
      <c r="RHX48" s="159"/>
      <c r="RHY48" s="159"/>
      <c r="RHZ48" s="159"/>
      <c r="RIA48" s="159"/>
      <c r="RIB48" s="159"/>
      <c r="RIC48" s="159"/>
      <c r="RID48" s="159"/>
      <c r="RIE48" s="159"/>
      <c r="RIF48" s="159"/>
      <c r="RIG48" s="159"/>
      <c r="RIH48" s="159"/>
      <c r="RII48" s="159"/>
      <c r="RIJ48" s="159"/>
      <c r="RIK48" s="159"/>
      <c r="RIL48" s="159"/>
      <c r="RIM48" s="159"/>
      <c r="RIN48" s="159"/>
      <c r="RIO48" s="159"/>
      <c r="RIP48" s="159"/>
      <c r="RIQ48" s="159"/>
      <c r="RIR48" s="159"/>
      <c r="RIS48" s="159"/>
      <c r="RIT48" s="159"/>
      <c r="RIU48" s="159"/>
      <c r="RIV48" s="159"/>
      <c r="RIW48" s="159"/>
      <c r="RIX48" s="159"/>
      <c r="RIY48" s="159"/>
      <c r="RIZ48" s="159"/>
      <c r="RJA48" s="159"/>
      <c r="RJB48" s="159"/>
      <c r="RJC48" s="159"/>
      <c r="RJD48" s="159"/>
      <c r="RJE48" s="159"/>
      <c r="RJF48" s="159"/>
      <c r="RJG48" s="159"/>
      <c r="RJH48" s="159"/>
      <c r="RJI48" s="159"/>
      <c r="RJJ48" s="159"/>
      <c r="RJK48" s="159"/>
      <c r="RJL48" s="159"/>
      <c r="RJM48" s="159"/>
      <c r="RJN48" s="159"/>
      <c r="RJO48" s="159"/>
      <c r="RJP48" s="159"/>
      <c r="RJQ48" s="159"/>
      <c r="RJR48" s="159"/>
      <c r="RJS48" s="159"/>
      <c r="RJT48" s="159"/>
      <c r="RJU48" s="159"/>
      <c r="RJV48" s="159"/>
      <c r="RJW48" s="159"/>
      <c r="RJX48" s="159"/>
      <c r="RJY48" s="159"/>
      <c r="RJZ48" s="159"/>
      <c r="RKA48" s="159"/>
      <c r="RKB48" s="159"/>
      <c r="RKC48" s="159"/>
      <c r="RKD48" s="159"/>
      <c r="RKE48" s="159"/>
      <c r="RKF48" s="159"/>
      <c r="RKG48" s="159"/>
      <c r="RKH48" s="159"/>
      <c r="RKI48" s="159"/>
      <c r="RKJ48" s="159"/>
      <c r="RKK48" s="159"/>
      <c r="RKL48" s="159"/>
      <c r="RKM48" s="159"/>
      <c r="RKN48" s="159"/>
      <c r="RKO48" s="159"/>
      <c r="RKP48" s="159"/>
      <c r="RKQ48" s="159"/>
      <c r="RKR48" s="159"/>
      <c r="RKS48" s="159"/>
      <c r="RKT48" s="159"/>
      <c r="RKU48" s="159"/>
      <c r="RKV48" s="159"/>
      <c r="RKW48" s="159"/>
      <c r="RKX48" s="159"/>
      <c r="RKY48" s="159"/>
      <c r="RKZ48" s="159"/>
      <c r="RLA48" s="159"/>
      <c r="RLB48" s="159"/>
      <c r="RLC48" s="159"/>
      <c r="RLD48" s="159"/>
      <c r="RLE48" s="159"/>
      <c r="RLF48" s="159"/>
      <c r="RLG48" s="159"/>
      <c r="RLH48" s="159"/>
      <c r="RLI48" s="159"/>
      <c r="RLJ48" s="159"/>
      <c r="RLK48" s="159"/>
      <c r="RLL48" s="159"/>
      <c r="RLM48" s="159"/>
      <c r="RLN48" s="159"/>
      <c r="RLO48" s="159"/>
      <c r="RLP48" s="159"/>
      <c r="RLQ48" s="159"/>
      <c r="RLR48" s="159"/>
      <c r="RLS48" s="159"/>
      <c r="RLT48" s="159"/>
      <c r="RLU48" s="159"/>
      <c r="RLV48" s="159"/>
      <c r="RLW48" s="159"/>
      <c r="RLX48" s="159"/>
      <c r="RLY48" s="159"/>
      <c r="RLZ48" s="159"/>
      <c r="RMA48" s="159"/>
      <c r="RMB48" s="159"/>
      <c r="RMC48" s="159"/>
      <c r="RMD48" s="159"/>
      <c r="RME48" s="159"/>
      <c r="RMF48" s="159"/>
      <c r="RMG48" s="159"/>
      <c r="RMH48" s="159"/>
      <c r="RMI48" s="159"/>
      <c r="RMJ48" s="159"/>
      <c r="RMK48" s="159"/>
      <c r="RML48" s="159"/>
      <c r="RMM48" s="159"/>
      <c r="RMN48" s="159"/>
      <c r="RMO48" s="159"/>
      <c r="RMP48" s="159"/>
      <c r="RMQ48" s="159"/>
      <c r="RMR48" s="159"/>
      <c r="RMS48" s="159"/>
      <c r="RMT48" s="159"/>
      <c r="RMU48" s="159"/>
      <c r="RMV48" s="159"/>
      <c r="RMW48" s="159"/>
      <c r="RMX48" s="159"/>
      <c r="RMY48" s="159"/>
      <c r="RMZ48" s="159"/>
      <c r="RNA48" s="159"/>
      <c r="RNB48" s="159"/>
      <c r="RNC48" s="159"/>
      <c r="RND48" s="159"/>
      <c r="RNE48" s="159"/>
      <c r="RNF48" s="159"/>
      <c r="RNG48" s="159"/>
      <c r="RNH48" s="159"/>
      <c r="RNI48" s="159"/>
      <c r="RNJ48" s="159"/>
      <c r="RNK48" s="159"/>
      <c r="RNL48" s="159"/>
      <c r="RNM48" s="159"/>
      <c r="RNN48" s="159"/>
      <c r="RNO48" s="159"/>
      <c r="RNP48" s="159"/>
      <c r="RNQ48" s="159"/>
      <c r="RNR48" s="159"/>
      <c r="RNS48" s="159"/>
      <c r="RNT48" s="159"/>
      <c r="RNU48" s="159"/>
      <c r="RNV48" s="159"/>
      <c r="RNW48" s="159"/>
      <c r="RNX48" s="159"/>
      <c r="RNY48" s="159"/>
      <c r="RNZ48" s="159"/>
      <c r="ROA48" s="159"/>
      <c r="ROB48" s="159"/>
      <c r="ROC48" s="159"/>
      <c r="ROD48" s="159"/>
      <c r="ROE48" s="159"/>
      <c r="ROF48" s="159"/>
      <c r="ROG48" s="159"/>
      <c r="ROH48" s="159"/>
      <c r="ROI48" s="159"/>
      <c r="ROJ48" s="159"/>
      <c r="ROK48" s="159"/>
      <c r="ROL48" s="159"/>
      <c r="ROM48" s="159"/>
      <c r="RON48" s="159"/>
      <c r="ROO48" s="159"/>
      <c r="ROP48" s="159"/>
      <c r="ROQ48" s="159"/>
      <c r="ROR48" s="159"/>
      <c r="ROS48" s="159"/>
      <c r="ROT48" s="159"/>
      <c r="ROU48" s="159"/>
      <c r="ROV48" s="159"/>
      <c r="ROW48" s="159"/>
      <c r="ROX48" s="159"/>
      <c r="ROY48" s="159"/>
      <c r="ROZ48" s="159"/>
      <c r="RPA48" s="159"/>
      <c r="RPB48" s="159"/>
      <c r="RPC48" s="159"/>
      <c r="RPD48" s="159"/>
      <c r="RPE48" s="159"/>
      <c r="RPF48" s="159"/>
      <c r="RPG48" s="159"/>
      <c r="RPH48" s="159"/>
      <c r="RPI48" s="159"/>
      <c r="RPJ48" s="159"/>
      <c r="RPK48" s="159"/>
      <c r="RPL48" s="159"/>
      <c r="RPM48" s="159"/>
      <c r="RPN48" s="159"/>
      <c r="RPO48" s="159"/>
      <c r="RPP48" s="159"/>
      <c r="RPQ48" s="159"/>
      <c r="RPR48" s="159"/>
      <c r="RPS48" s="159"/>
      <c r="RPT48" s="159"/>
      <c r="RPU48" s="159"/>
      <c r="RPV48" s="159"/>
      <c r="RPW48" s="159"/>
      <c r="RPX48" s="159"/>
      <c r="RPY48" s="159"/>
      <c r="RPZ48" s="159"/>
      <c r="RQA48" s="159"/>
      <c r="RQB48" s="159"/>
      <c r="RQC48" s="159"/>
      <c r="RQD48" s="159"/>
      <c r="RQE48" s="159"/>
      <c r="RQF48" s="159"/>
      <c r="RQG48" s="159"/>
      <c r="RQH48" s="159"/>
      <c r="RQI48" s="159"/>
      <c r="RQJ48" s="159"/>
      <c r="RQK48" s="159"/>
      <c r="RQL48" s="159"/>
      <c r="RQM48" s="159"/>
      <c r="RQN48" s="159"/>
      <c r="RQO48" s="159"/>
      <c r="RQP48" s="159"/>
      <c r="RQQ48" s="159"/>
      <c r="RQR48" s="159"/>
      <c r="RQS48" s="159"/>
      <c r="RQT48" s="159"/>
      <c r="RQU48" s="159"/>
      <c r="RQV48" s="159"/>
      <c r="RQW48" s="159"/>
      <c r="RQX48" s="159"/>
      <c r="RQY48" s="159"/>
      <c r="RQZ48" s="159"/>
      <c r="RRA48" s="159"/>
      <c r="RRB48" s="159"/>
      <c r="RRC48" s="159"/>
      <c r="RRD48" s="159"/>
      <c r="RRE48" s="159"/>
      <c r="RRF48" s="159"/>
      <c r="RRG48" s="159"/>
      <c r="RRH48" s="159"/>
      <c r="RRI48" s="159"/>
      <c r="RRJ48" s="159"/>
      <c r="RRK48" s="159"/>
      <c r="RRL48" s="159"/>
      <c r="RRM48" s="159"/>
      <c r="RRN48" s="159"/>
      <c r="RRO48" s="159"/>
      <c r="RRP48" s="159"/>
      <c r="RRQ48" s="159"/>
      <c r="RRR48" s="159"/>
      <c r="RRS48" s="159"/>
      <c r="RRT48" s="159"/>
      <c r="RRU48" s="159"/>
      <c r="RRV48" s="159"/>
      <c r="RRW48" s="159"/>
      <c r="RRX48" s="159"/>
      <c r="RRY48" s="159"/>
      <c r="RRZ48" s="159"/>
      <c r="RSA48" s="159"/>
      <c r="RSB48" s="159"/>
      <c r="RSC48" s="159"/>
      <c r="RSD48" s="159"/>
      <c r="RSE48" s="159"/>
      <c r="RSF48" s="159"/>
      <c r="RSG48" s="159"/>
      <c r="RSH48" s="159"/>
      <c r="RSI48" s="159"/>
      <c r="RSJ48" s="159"/>
      <c r="RSK48" s="159"/>
      <c r="RSL48" s="159"/>
      <c r="RSM48" s="159"/>
      <c r="RSN48" s="159"/>
      <c r="RSO48" s="159"/>
      <c r="RSP48" s="159"/>
      <c r="RSQ48" s="159"/>
      <c r="RSR48" s="159"/>
      <c r="RSS48" s="159"/>
      <c r="RST48" s="159"/>
      <c r="RSU48" s="159"/>
      <c r="RSV48" s="159"/>
      <c r="RSW48" s="159"/>
      <c r="RSX48" s="159"/>
      <c r="RSY48" s="159"/>
      <c r="RSZ48" s="159"/>
      <c r="RTA48" s="159"/>
      <c r="RTB48" s="159"/>
      <c r="RTC48" s="159"/>
      <c r="RTD48" s="159"/>
      <c r="RTE48" s="159"/>
      <c r="RTF48" s="159"/>
      <c r="RTG48" s="159"/>
      <c r="RTH48" s="159"/>
      <c r="RTI48" s="159"/>
      <c r="RTJ48" s="159"/>
      <c r="RTK48" s="159"/>
      <c r="RTL48" s="159"/>
      <c r="RTM48" s="159"/>
      <c r="RTN48" s="159"/>
      <c r="RTO48" s="159"/>
      <c r="RTP48" s="159"/>
      <c r="RTQ48" s="159"/>
      <c r="RTR48" s="159"/>
      <c r="RTS48" s="159"/>
      <c r="RTT48" s="159"/>
      <c r="RTU48" s="159"/>
      <c r="RTV48" s="159"/>
      <c r="RTW48" s="159"/>
      <c r="RTX48" s="159"/>
      <c r="RTY48" s="159"/>
      <c r="RTZ48" s="159"/>
      <c r="RUA48" s="159"/>
      <c r="RUB48" s="159"/>
      <c r="RUC48" s="159"/>
      <c r="RUD48" s="159"/>
      <c r="RUE48" s="159"/>
      <c r="RUF48" s="159"/>
      <c r="RUG48" s="159"/>
      <c r="RUH48" s="159"/>
      <c r="RUI48" s="159"/>
      <c r="RUJ48" s="159"/>
      <c r="RUK48" s="159"/>
      <c r="RUL48" s="159"/>
      <c r="RUM48" s="159"/>
      <c r="RUN48" s="159"/>
      <c r="RUO48" s="159"/>
      <c r="RUP48" s="159"/>
      <c r="RUQ48" s="159"/>
      <c r="RUR48" s="159"/>
      <c r="RUS48" s="159"/>
      <c r="RUT48" s="159"/>
      <c r="RUU48" s="159"/>
      <c r="RUV48" s="159"/>
      <c r="RUW48" s="159"/>
      <c r="RUX48" s="159"/>
      <c r="RUY48" s="159"/>
      <c r="RUZ48" s="159"/>
      <c r="RVA48" s="159"/>
      <c r="RVB48" s="159"/>
      <c r="RVC48" s="159"/>
      <c r="RVD48" s="159"/>
      <c r="RVE48" s="159"/>
      <c r="RVF48" s="159"/>
      <c r="RVG48" s="159"/>
      <c r="RVH48" s="159"/>
      <c r="RVI48" s="159"/>
      <c r="RVJ48" s="159"/>
      <c r="RVK48" s="159"/>
      <c r="RVL48" s="159"/>
      <c r="RVM48" s="159"/>
      <c r="RVN48" s="159"/>
      <c r="RVO48" s="159"/>
      <c r="RVP48" s="159"/>
      <c r="RVQ48" s="159"/>
      <c r="RVR48" s="159"/>
      <c r="RVS48" s="159"/>
      <c r="RVT48" s="159"/>
      <c r="RVU48" s="159"/>
      <c r="RVV48" s="159"/>
      <c r="RVW48" s="159"/>
      <c r="RVX48" s="159"/>
      <c r="RVY48" s="159"/>
      <c r="RVZ48" s="159"/>
      <c r="RWA48" s="159"/>
      <c r="RWB48" s="159"/>
      <c r="RWC48" s="159"/>
      <c r="RWD48" s="159"/>
      <c r="RWE48" s="159"/>
      <c r="RWF48" s="159"/>
      <c r="RWG48" s="159"/>
      <c r="RWH48" s="159"/>
      <c r="RWI48" s="159"/>
      <c r="RWJ48" s="159"/>
      <c r="RWK48" s="159"/>
      <c r="RWL48" s="159"/>
      <c r="RWM48" s="159"/>
      <c r="RWN48" s="159"/>
      <c r="RWO48" s="159"/>
      <c r="RWP48" s="159"/>
      <c r="RWQ48" s="159"/>
      <c r="RWR48" s="159"/>
      <c r="RWS48" s="159"/>
      <c r="RWT48" s="159"/>
      <c r="RWU48" s="159"/>
      <c r="RWV48" s="159"/>
      <c r="RWW48" s="159"/>
      <c r="RWX48" s="159"/>
      <c r="RWY48" s="159"/>
      <c r="RWZ48" s="159"/>
      <c r="RXA48" s="159"/>
      <c r="RXB48" s="159"/>
      <c r="RXC48" s="159"/>
      <c r="RXD48" s="159"/>
      <c r="RXE48" s="159"/>
      <c r="RXF48" s="159"/>
      <c r="RXG48" s="159"/>
      <c r="RXH48" s="159"/>
      <c r="RXI48" s="159"/>
      <c r="RXJ48" s="159"/>
      <c r="RXK48" s="159"/>
      <c r="RXL48" s="159"/>
      <c r="RXM48" s="159"/>
      <c r="RXN48" s="159"/>
      <c r="RXO48" s="159"/>
      <c r="RXP48" s="159"/>
      <c r="RXQ48" s="159"/>
      <c r="RXR48" s="159"/>
      <c r="RXS48" s="159"/>
      <c r="RXT48" s="159"/>
      <c r="RXU48" s="159"/>
      <c r="RXV48" s="159"/>
      <c r="RXW48" s="159"/>
      <c r="RXX48" s="159"/>
      <c r="RXY48" s="159"/>
      <c r="RXZ48" s="159"/>
      <c r="RYA48" s="159"/>
      <c r="RYB48" s="159"/>
      <c r="RYC48" s="159"/>
      <c r="RYD48" s="159"/>
      <c r="RYE48" s="159"/>
      <c r="RYF48" s="159"/>
      <c r="RYG48" s="159"/>
      <c r="RYH48" s="159"/>
      <c r="RYI48" s="159"/>
      <c r="RYJ48" s="159"/>
      <c r="RYK48" s="159"/>
      <c r="RYL48" s="159"/>
      <c r="RYM48" s="159"/>
      <c r="RYN48" s="159"/>
      <c r="RYO48" s="159"/>
      <c r="RYP48" s="159"/>
      <c r="RYQ48" s="159"/>
      <c r="RYR48" s="159"/>
      <c r="RYS48" s="159"/>
      <c r="RYT48" s="159"/>
      <c r="RYU48" s="159"/>
      <c r="RYV48" s="159"/>
      <c r="RYW48" s="159"/>
      <c r="RYX48" s="159"/>
      <c r="RYY48" s="159"/>
      <c r="RYZ48" s="159"/>
      <c r="RZA48" s="159"/>
      <c r="RZB48" s="159"/>
      <c r="RZC48" s="159"/>
      <c r="RZD48" s="159"/>
      <c r="RZE48" s="159"/>
      <c r="RZF48" s="159"/>
      <c r="RZG48" s="159"/>
      <c r="RZH48" s="159"/>
      <c r="RZI48" s="159"/>
      <c r="RZJ48" s="159"/>
      <c r="RZK48" s="159"/>
      <c r="RZL48" s="159"/>
      <c r="RZM48" s="159"/>
      <c r="RZN48" s="159"/>
      <c r="RZO48" s="159"/>
      <c r="RZP48" s="159"/>
      <c r="RZQ48" s="159"/>
      <c r="RZR48" s="159"/>
      <c r="RZS48" s="159"/>
      <c r="RZT48" s="159"/>
      <c r="RZU48" s="159"/>
      <c r="RZV48" s="159"/>
      <c r="RZW48" s="159"/>
      <c r="RZX48" s="159"/>
      <c r="RZY48" s="159"/>
      <c r="RZZ48" s="159"/>
      <c r="SAA48" s="159"/>
      <c r="SAB48" s="159"/>
      <c r="SAC48" s="159"/>
      <c r="SAD48" s="159"/>
      <c r="SAE48" s="159"/>
      <c r="SAF48" s="159"/>
      <c r="SAG48" s="159"/>
      <c r="SAH48" s="159"/>
      <c r="SAI48" s="159"/>
      <c r="SAJ48" s="159"/>
      <c r="SAK48" s="159"/>
      <c r="SAL48" s="159"/>
      <c r="SAM48" s="159"/>
      <c r="SAN48" s="159"/>
      <c r="SAO48" s="159"/>
      <c r="SAP48" s="159"/>
      <c r="SAQ48" s="159"/>
      <c r="SAR48" s="159"/>
      <c r="SAS48" s="159"/>
      <c r="SAT48" s="159"/>
      <c r="SAU48" s="159"/>
      <c r="SAV48" s="159"/>
      <c r="SAW48" s="159"/>
      <c r="SAX48" s="159"/>
      <c r="SAY48" s="159"/>
      <c r="SAZ48" s="159"/>
      <c r="SBA48" s="159"/>
      <c r="SBB48" s="159"/>
      <c r="SBC48" s="159"/>
      <c r="SBD48" s="159"/>
      <c r="SBE48" s="159"/>
      <c r="SBF48" s="159"/>
      <c r="SBG48" s="159"/>
      <c r="SBH48" s="159"/>
      <c r="SBI48" s="159"/>
      <c r="SBJ48" s="159"/>
      <c r="SBK48" s="159"/>
      <c r="SBL48" s="159"/>
      <c r="SBM48" s="159"/>
      <c r="SBN48" s="159"/>
      <c r="SBO48" s="159"/>
      <c r="SBP48" s="159"/>
      <c r="SBQ48" s="159"/>
      <c r="SBR48" s="159"/>
      <c r="SBS48" s="159"/>
      <c r="SBT48" s="159"/>
      <c r="SBU48" s="159"/>
      <c r="SBV48" s="159"/>
      <c r="SBW48" s="159"/>
      <c r="SBX48" s="159"/>
      <c r="SBY48" s="159"/>
      <c r="SBZ48" s="159"/>
      <c r="SCA48" s="159"/>
      <c r="SCB48" s="159"/>
      <c r="SCC48" s="159"/>
      <c r="SCD48" s="159"/>
      <c r="SCE48" s="159"/>
      <c r="SCF48" s="159"/>
      <c r="SCG48" s="159"/>
      <c r="SCH48" s="159"/>
      <c r="SCI48" s="159"/>
      <c r="SCJ48" s="159"/>
      <c r="SCK48" s="159"/>
      <c r="SCL48" s="159"/>
      <c r="SCM48" s="159"/>
      <c r="SCN48" s="159"/>
      <c r="SCO48" s="159"/>
      <c r="SCP48" s="159"/>
      <c r="SCQ48" s="159"/>
      <c r="SCR48" s="159"/>
      <c r="SCS48" s="159"/>
      <c r="SCT48" s="159"/>
      <c r="SCU48" s="159"/>
      <c r="SCV48" s="159"/>
      <c r="SCW48" s="159"/>
      <c r="SCX48" s="159"/>
      <c r="SCY48" s="159"/>
      <c r="SCZ48" s="159"/>
      <c r="SDA48" s="159"/>
      <c r="SDB48" s="159"/>
      <c r="SDC48" s="159"/>
      <c r="SDD48" s="159"/>
      <c r="SDE48" s="159"/>
      <c r="SDF48" s="159"/>
      <c r="SDG48" s="159"/>
      <c r="SDH48" s="159"/>
      <c r="SDI48" s="159"/>
      <c r="SDJ48" s="159"/>
      <c r="SDK48" s="159"/>
      <c r="SDL48" s="159"/>
      <c r="SDM48" s="159"/>
      <c r="SDN48" s="159"/>
      <c r="SDO48" s="159"/>
      <c r="SDP48" s="159"/>
      <c r="SDQ48" s="159"/>
      <c r="SDR48" s="159"/>
      <c r="SDS48" s="159"/>
      <c r="SDT48" s="159"/>
      <c r="SDU48" s="159"/>
      <c r="SDV48" s="159"/>
      <c r="SDW48" s="159"/>
      <c r="SDX48" s="159"/>
      <c r="SDY48" s="159"/>
      <c r="SDZ48" s="159"/>
      <c r="SEA48" s="159"/>
      <c r="SEB48" s="159"/>
      <c r="SEC48" s="159"/>
      <c r="SED48" s="159"/>
      <c r="SEE48" s="159"/>
      <c r="SEF48" s="159"/>
      <c r="SEG48" s="159"/>
      <c r="SEH48" s="159"/>
      <c r="SEI48" s="159"/>
      <c r="SEJ48" s="159"/>
      <c r="SEK48" s="159"/>
      <c r="SEL48" s="159"/>
      <c r="SEM48" s="159"/>
      <c r="SEN48" s="159"/>
      <c r="SEO48" s="159"/>
      <c r="SEP48" s="159"/>
      <c r="SEQ48" s="159"/>
      <c r="SER48" s="159"/>
      <c r="SES48" s="159"/>
      <c r="SET48" s="159"/>
      <c r="SEU48" s="159"/>
      <c r="SEV48" s="159"/>
      <c r="SEW48" s="159"/>
      <c r="SEX48" s="159"/>
      <c r="SEY48" s="159"/>
      <c r="SEZ48" s="159"/>
      <c r="SFA48" s="159"/>
      <c r="SFB48" s="159"/>
      <c r="SFC48" s="159"/>
      <c r="SFD48" s="159"/>
      <c r="SFE48" s="159"/>
      <c r="SFF48" s="159"/>
      <c r="SFG48" s="159"/>
      <c r="SFH48" s="159"/>
      <c r="SFI48" s="159"/>
      <c r="SFJ48" s="159"/>
      <c r="SFK48" s="159"/>
      <c r="SFL48" s="159"/>
      <c r="SFM48" s="159"/>
      <c r="SFN48" s="159"/>
      <c r="SFO48" s="159"/>
      <c r="SFP48" s="159"/>
      <c r="SFQ48" s="159"/>
      <c r="SFR48" s="159"/>
      <c r="SFS48" s="159"/>
      <c r="SFT48" s="159"/>
      <c r="SFU48" s="159"/>
      <c r="SFV48" s="159"/>
      <c r="SFW48" s="159"/>
      <c r="SFX48" s="159"/>
      <c r="SFY48" s="159"/>
      <c r="SFZ48" s="159"/>
      <c r="SGA48" s="159"/>
      <c r="SGB48" s="159"/>
      <c r="SGC48" s="159"/>
      <c r="SGD48" s="159"/>
      <c r="SGE48" s="159"/>
      <c r="SGF48" s="159"/>
      <c r="SGG48" s="159"/>
      <c r="SGH48" s="159"/>
      <c r="SGI48" s="159"/>
      <c r="SGJ48" s="159"/>
      <c r="SGK48" s="159"/>
      <c r="SGL48" s="159"/>
      <c r="SGM48" s="159"/>
      <c r="SGN48" s="159"/>
      <c r="SGO48" s="159"/>
      <c r="SGP48" s="159"/>
      <c r="SGQ48" s="159"/>
      <c r="SGR48" s="159"/>
      <c r="SGS48" s="159"/>
      <c r="SGT48" s="159"/>
      <c r="SGU48" s="159"/>
      <c r="SGV48" s="159"/>
      <c r="SGW48" s="159"/>
      <c r="SGX48" s="159"/>
      <c r="SGY48" s="159"/>
      <c r="SGZ48" s="159"/>
      <c r="SHA48" s="159"/>
      <c r="SHB48" s="159"/>
      <c r="SHC48" s="159"/>
      <c r="SHD48" s="159"/>
      <c r="SHE48" s="159"/>
      <c r="SHF48" s="159"/>
      <c r="SHG48" s="159"/>
      <c r="SHH48" s="159"/>
      <c r="SHI48" s="159"/>
      <c r="SHJ48" s="159"/>
      <c r="SHK48" s="159"/>
      <c r="SHL48" s="159"/>
      <c r="SHM48" s="159"/>
      <c r="SHN48" s="159"/>
      <c r="SHO48" s="159"/>
      <c r="SHP48" s="159"/>
      <c r="SHQ48" s="159"/>
      <c r="SHR48" s="159"/>
      <c r="SHS48" s="159"/>
      <c r="SHT48" s="159"/>
      <c r="SHU48" s="159"/>
      <c r="SHV48" s="159"/>
      <c r="SHW48" s="159"/>
      <c r="SHX48" s="159"/>
      <c r="SHY48" s="159"/>
      <c r="SHZ48" s="159"/>
      <c r="SIA48" s="159"/>
      <c r="SIB48" s="159"/>
      <c r="SIC48" s="159"/>
      <c r="SID48" s="159"/>
      <c r="SIE48" s="159"/>
      <c r="SIF48" s="159"/>
      <c r="SIG48" s="159"/>
      <c r="SIH48" s="159"/>
      <c r="SII48" s="159"/>
      <c r="SIJ48" s="159"/>
      <c r="SIK48" s="159"/>
      <c r="SIL48" s="159"/>
      <c r="SIM48" s="159"/>
      <c r="SIN48" s="159"/>
      <c r="SIO48" s="159"/>
      <c r="SIP48" s="159"/>
      <c r="SIQ48" s="159"/>
      <c r="SIR48" s="159"/>
      <c r="SIS48" s="159"/>
      <c r="SIT48" s="159"/>
      <c r="SIU48" s="159"/>
      <c r="SIV48" s="159"/>
      <c r="SIW48" s="159"/>
      <c r="SIX48" s="159"/>
      <c r="SIY48" s="159"/>
      <c r="SIZ48" s="159"/>
      <c r="SJA48" s="159"/>
      <c r="SJB48" s="159"/>
      <c r="SJC48" s="159"/>
      <c r="SJD48" s="159"/>
      <c r="SJE48" s="159"/>
      <c r="SJF48" s="159"/>
      <c r="SJG48" s="159"/>
      <c r="SJH48" s="159"/>
      <c r="SJI48" s="159"/>
      <c r="SJJ48" s="159"/>
      <c r="SJK48" s="159"/>
      <c r="SJL48" s="159"/>
      <c r="SJM48" s="159"/>
      <c r="SJN48" s="159"/>
      <c r="SJO48" s="159"/>
      <c r="SJP48" s="159"/>
      <c r="SJQ48" s="159"/>
      <c r="SJR48" s="159"/>
      <c r="SJS48" s="159"/>
      <c r="SJT48" s="159"/>
      <c r="SJU48" s="159"/>
      <c r="SJV48" s="159"/>
      <c r="SJW48" s="159"/>
      <c r="SJX48" s="159"/>
      <c r="SJY48" s="159"/>
      <c r="SJZ48" s="159"/>
      <c r="SKA48" s="159"/>
      <c r="SKB48" s="159"/>
      <c r="SKC48" s="159"/>
      <c r="SKD48" s="159"/>
      <c r="SKE48" s="159"/>
      <c r="SKF48" s="159"/>
      <c r="SKG48" s="159"/>
      <c r="SKH48" s="159"/>
      <c r="SKI48" s="159"/>
      <c r="SKJ48" s="159"/>
      <c r="SKK48" s="159"/>
      <c r="SKL48" s="159"/>
      <c r="SKM48" s="159"/>
      <c r="SKN48" s="159"/>
      <c r="SKO48" s="159"/>
      <c r="SKP48" s="159"/>
      <c r="SKQ48" s="159"/>
      <c r="SKR48" s="159"/>
      <c r="SKS48" s="159"/>
      <c r="SKT48" s="159"/>
      <c r="SKU48" s="159"/>
      <c r="SKV48" s="159"/>
      <c r="SKW48" s="159"/>
      <c r="SKX48" s="159"/>
      <c r="SKY48" s="159"/>
      <c r="SKZ48" s="159"/>
      <c r="SLA48" s="159"/>
      <c r="SLB48" s="159"/>
      <c r="SLC48" s="159"/>
      <c r="SLD48" s="159"/>
      <c r="SLE48" s="159"/>
      <c r="SLF48" s="159"/>
      <c r="SLG48" s="159"/>
      <c r="SLH48" s="159"/>
      <c r="SLI48" s="159"/>
      <c r="SLJ48" s="159"/>
      <c r="SLK48" s="159"/>
      <c r="SLL48" s="159"/>
      <c r="SLM48" s="159"/>
      <c r="SLN48" s="159"/>
      <c r="SLO48" s="159"/>
      <c r="SLP48" s="159"/>
      <c r="SLQ48" s="159"/>
      <c r="SLR48" s="159"/>
      <c r="SLS48" s="159"/>
      <c r="SLT48" s="159"/>
      <c r="SLU48" s="159"/>
      <c r="SLV48" s="159"/>
      <c r="SLW48" s="159"/>
      <c r="SLX48" s="159"/>
      <c r="SLY48" s="159"/>
      <c r="SLZ48" s="159"/>
      <c r="SMA48" s="159"/>
      <c r="SMB48" s="159"/>
      <c r="SMC48" s="159"/>
      <c r="SMD48" s="159"/>
      <c r="SME48" s="159"/>
      <c r="SMF48" s="159"/>
      <c r="SMG48" s="159"/>
      <c r="SMH48" s="159"/>
      <c r="SMI48" s="159"/>
      <c r="SMJ48" s="159"/>
      <c r="SMK48" s="159"/>
      <c r="SML48" s="159"/>
      <c r="SMM48" s="159"/>
      <c r="SMN48" s="159"/>
      <c r="SMO48" s="159"/>
      <c r="SMP48" s="159"/>
      <c r="SMQ48" s="159"/>
      <c r="SMR48" s="159"/>
      <c r="SMS48" s="159"/>
      <c r="SMT48" s="159"/>
      <c r="SMU48" s="159"/>
      <c r="SMV48" s="159"/>
      <c r="SMW48" s="159"/>
      <c r="SMX48" s="159"/>
      <c r="SMY48" s="159"/>
      <c r="SMZ48" s="159"/>
      <c r="SNA48" s="159"/>
      <c r="SNB48" s="159"/>
      <c r="SNC48" s="159"/>
      <c r="SND48" s="159"/>
      <c r="SNE48" s="159"/>
      <c r="SNF48" s="159"/>
      <c r="SNG48" s="159"/>
      <c r="SNH48" s="159"/>
      <c r="SNI48" s="159"/>
      <c r="SNJ48" s="159"/>
      <c r="SNK48" s="159"/>
      <c r="SNL48" s="159"/>
      <c r="SNM48" s="159"/>
      <c r="SNN48" s="159"/>
      <c r="SNO48" s="159"/>
      <c r="SNP48" s="159"/>
      <c r="SNQ48" s="159"/>
      <c r="SNR48" s="159"/>
      <c r="SNS48" s="159"/>
      <c r="SNT48" s="159"/>
      <c r="SNU48" s="159"/>
      <c r="SNV48" s="159"/>
      <c r="SNW48" s="159"/>
      <c r="SNX48" s="159"/>
      <c r="SNY48" s="159"/>
      <c r="SNZ48" s="159"/>
      <c r="SOA48" s="159"/>
      <c r="SOB48" s="159"/>
      <c r="SOC48" s="159"/>
      <c r="SOD48" s="159"/>
      <c r="SOE48" s="159"/>
      <c r="SOF48" s="159"/>
      <c r="SOG48" s="159"/>
      <c r="SOH48" s="159"/>
      <c r="SOI48" s="159"/>
      <c r="SOJ48" s="159"/>
      <c r="SOK48" s="159"/>
      <c r="SOL48" s="159"/>
      <c r="SOM48" s="159"/>
      <c r="SON48" s="159"/>
      <c r="SOO48" s="159"/>
      <c r="SOP48" s="159"/>
      <c r="SOQ48" s="159"/>
      <c r="SOR48" s="159"/>
      <c r="SOS48" s="159"/>
      <c r="SOT48" s="159"/>
      <c r="SOU48" s="159"/>
      <c r="SOV48" s="159"/>
      <c r="SOW48" s="159"/>
      <c r="SOX48" s="159"/>
      <c r="SOY48" s="159"/>
      <c r="SOZ48" s="159"/>
      <c r="SPA48" s="159"/>
      <c r="SPB48" s="159"/>
      <c r="SPC48" s="159"/>
      <c r="SPD48" s="159"/>
      <c r="SPE48" s="159"/>
      <c r="SPF48" s="159"/>
      <c r="SPG48" s="159"/>
      <c r="SPH48" s="159"/>
      <c r="SPI48" s="159"/>
      <c r="SPJ48" s="159"/>
      <c r="SPK48" s="159"/>
      <c r="SPL48" s="159"/>
      <c r="SPM48" s="159"/>
      <c r="SPN48" s="159"/>
      <c r="SPO48" s="159"/>
      <c r="SPP48" s="159"/>
      <c r="SPQ48" s="159"/>
      <c r="SPR48" s="159"/>
      <c r="SPS48" s="159"/>
      <c r="SPT48" s="159"/>
      <c r="SPU48" s="159"/>
      <c r="SPV48" s="159"/>
      <c r="SPW48" s="159"/>
      <c r="SPX48" s="159"/>
      <c r="SPY48" s="159"/>
      <c r="SPZ48" s="159"/>
      <c r="SQA48" s="159"/>
      <c r="SQB48" s="159"/>
      <c r="SQC48" s="159"/>
      <c r="SQD48" s="159"/>
      <c r="SQE48" s="159"/>
      <c r="SQF48" s="159"/>
      <c r="SQG48" s="159"/>
      <c r="SQH48" s="159"/>
      <c r="SQI48" s="159"/>
      <c r="SQJ48" s="159"/>
      <c r="SQK48" s="159"/>
      <c r="SQL48" s="159"/>
      <c r="SQM48" s="159"/>
      <c r="SQN48" s="159"/>
      <c r="SQO48" s="159"/>
      <c r="SQP48" s="159"/>
      <c r="SQQ48" s="159"/>
      <c r="SQR48" s="159"/>
      <c r="SQS48" s="159"/>
      <c r="SQT48" s="159"/>
      <c r="SQU48" s="159"/>
      <c r="SQV48" s="159"/>
      <c r="SQW48" s="159"/>
      <c r="SQX48" s="159"/>
      <c r="SQY48" s="159"/>
      <c r="SQZ48" s="159"/>
      <c r="SRA48" s="159"/>
      <c r="SRB48" s="159"/>
      <c r="SRC48" s="159"/>
      <c r="SRD48" s="159"/>
      <c r="SRE48" s="159"/>
      <c r="SRF48" s="159"/>
      <c r="SRG48" s="159"/>
      <c r="SRH48" s="159"/>
      <c r="SRI48" s="159"/>
      <c r="SRJ48" s="159"/>
      <c r="SRK48" s="159"/>
      <c r="SRL48" s="159"/>
      <c r="SRM48" s="159"/>
      <c r="SRN48" s="159"/>
      <c r="SRO48" s="159"/>
      <c r="SRP48" s="159"/>
      <c r="SRQ48" s="159"/>
      <c r="SRR48" s="159"/>
      <c r="SRS48" s="159"/>
      <c r="SRT48" s="159"/>
      <c r="SRU48" s="159"/>
      <c r="SRV48" s="159"/>
      <c r="SRW48" s="159"/>
      <c r="SRX48" s="159"/>
      <c r="SRY48" s="159"/>
      <c r="SRZ48" s="159"/>
      <c r="SSA48" s="159"/>
      <c r="SSB48" s="159"/>
      <c r="SSC48" s="159"/>
      <c r="SSD48" s="159"/>
      <c r="SSE48" s="159"/>
      <c r="SSF48" s="159"/>
      <c r="SSG48" s="159"/>
      <c r="SSH48" s="159"/>
      <c r="SSI48" s="159"/>
      <c r="SSJ48" s="159"/>
      <c r="SSK48" s="159"/>
      <c r="SSL48" s="159"/>
      <c r="SSM48" s="159"/>
      <c r="SSN48" s="159"/>
      <c r="SSO48" s="159"/>
      <c r="SSP48" s="159"/>
      <c r="SSQ48" s="159"/>
      <c r="SSR48" s="159"/>
      <c r="SSS48" s="159"/>
      <c r="SST48" s="159"/>
      <c r="SSU48" s="159"/>
      <c r="SSV48" s="159"/>
      <c r="SSW48" s="159"/>
      <c r="SSX48" s="159"/>
      <c r="SSY48" s="159"/>
      <c r="SSZ48" s="159"/>
      <c r="STA48" s="159"/>
      <c r="STB48" s="159"/>
      <c r="STC48" s="159"/>
      <c r="STD48" s="159"/>
      <c r="STE48" s="159"/>
      <c r="STF48" s="159"/>
      <c r="STG48" s="159"/>
      <c r="STH48" s="159"/>
      <c r="STI48" s="159"/>
      <c r="STJ48" s="159"/>
      <c r="STK48" s="159"/>
      <c r="STL48" s="159"/>
      <c r="STM48" s="159"/>
      <c r="STN48" s="159"/>
      <c r="STO48" s="159"/>
      <c r="STP48" s="159"/>
      <c r="STQ48" s="159"/>
      <c r="STR48" s="159"/>
      <c r="STS48" s="159"/>
      <c r="STT48" s="159"/>
      <c r="STU48" s="159"/>
      <c r="STV48" s="159"/>
      <c r="STW48" s="159"/>
      <c r="STX48" s="159"/>
      <c r="STY48" s="159"/>
      <c r="STZ48" s="159"/>
      <c r="SUA48" s="159"/>
      <c r="SUB48" s="159"/>
      <c r="SUC48" s="159"/>
      <c r="SUD48" s="159"/>
      <c r="SUE48" s="159"/>
      <c r="SUF48" s="159"/>
      <c r="SUG48" s="159"/>
      <c r="SUH48" s="159"/>
      <c r="SUI48" s="159"/>
      <c r="SUJ48" s="159"/>
      <c r="SUK48" s="159"/>
      <c r="SUL48" s="159"/>
      <c r="SUM48" s="159"/>
      <c r="SUN48" s="159"/>
      <c r="SUO48" s="159"/>
      <c r="SUP48" s="159"/>
      <c r="SUQ48" s="159"/>
      <c r="SUR48" s="159"/>
      <c r="SUS48" s="159"/>
      <c r="SUT48" s="159"/>
      <c r="SUU48" s="159"/>
      <c r="SUV48" s="159"/>
      <c r="SUW48" s="159"/>
      <c r="SUX48" s="159"/>
      <c r="SUY48" s="159"/>
      <c r="SUZ48" s="159"/>
      <c r="SVA48" s="159"/>
      <c r="SVB48" s="159"/>
      <c r="SVC48" s="159"/>
      <c r="SVD48" s="159"/>
      <c r="SVE48" s="159"/>
      <c r="SVF48" s="159"/>
      <c r="SVG48" s="159"/>
      <c r="SVH48" s="159"/>
      <c r="SVI48" s="159"/>
      <c r="SVJ48" s="159"/>
      <c r="SVK48" s="159"/>
      <c r="SVL48" s="159"/>
      <c r="SVM48" s="159"/>
      <c r="SVN48" s="159"/>
      <c r="SVO48" s="159"/>
      <c r="SVP48" s="159"/>
      <c r="SVQ48" s="159"/>
      <c r="SVR48" s="159"/>
      <c r="SVS48" s="159"/>
      <c r="SVT48" s="159"/>
      <c r="SVU48" s="159"/>
      <c r="SVV48" s="159"/>
      <c r="SVW48" s="159"/>
      <c r="SVX48" s="159"/>
      <c r="SVY48" s="159"/>
      <c r="SVZ48" s="159"/>
      <c r="SWA48" s="159"/>
      <c r="SWB48" s="159"/>
      <c r="SWC48" s="159"/>
      <c r="SWD48" s="159"/>
      <c r="SWE48" s="159"/>
      <c r="SWF48" s="159"/>
      <c r="SWG48" s="159"/>
      <c r="SWH48" s="159"/>
      <c r="SWI48" s="159"/>
      <c r="SWJ48" s="159"/>
      <c r="SWK48" s="159"/>
      <c r="SWL48" s="159"/>
      <c r="SWM48" s="159"/>
      <c r="SWN48" s="159"/>
      <c r="SWO48" s="159"/>
      <c r="SWP48" s="159"/>
      <c r="SWQ48" s="159"/>
      <c r="SWR48" s="159"/>
      <c r="SWS48" s="159"/>
      <c r="SWT48" s="159"/>
      <c r="SWU48" s="159"/>
      <c r="SWV48" s="159"/>
      <c r="SWW48" s="159"/>
      <c r="SWX48" s="159"/>
      <c r="SWY48" s="159"/>
      <c r="SWZ48" s="159"/>
      <c r="SXA48" s="159"/>
      <c r="SXB48" s="159"/>
      <c r="SXC48" s="159"/>
      <c r="SXD48" s="159"/>
      <c r="SXE48" s="159"/>
      <c r="SXF48" s="159"/>
      <c r="SXG48" s="159"/>
      <c r="SXH48" s="159"/>
      <c r="SXI48" s="159"/>
      <c r="SXJ48" s="159"/>
      <c r="SXK48" s="159"/>
      <c r="SXL48" s="159"/>
      <c r="SXM48" s="159"/>
      <c r="SXN48" s="159"/>
      <c r="SXO48" s="159"/>
      <c r="SXP48" s="159"/>
      <c r="SXQ48" s="159"/>
      <c r="SXR48" s="159"/>
      <c r="SXS48" s="159"/>
      <c r="SXT48" s="159"/>
      <c r="SXU48" s="159"/>
      <c r="SXV48" s="159"/>
      <c r="SXW48" s="159"/>
      <c r="SXX48" s="159"/>
      <c r="SXY48" s="159"/>
      <c r="SXZ48" s="159"/>
      <c r="SYA48" s="159"/>
      <c r="SYB48" s="159"/>
      <c r="SYC48" s="159"/>
      <c r="SYD48" s="159"/>
      <c r="SYE48" s="159"/>
      <c r="SYF48" s="159"/>
      <c r="SYG48" s="159"/>
      <c r="SYH48" s="159"/>
      <c r="SYI48" s="159"/>
      <c r="SYJ48" s="159"/>
      <c r="SYK48" s="159"/>
      <c r="SYL48" s="159"/>
      <c r="SYM48" s="159"/>
      <c r="SYN48" s="159"/>
      <c r="SYO48" s="159"/>
      <c r="SYP48" s="159"/>
      <c r="SYQ48" s="159"/>
      <c r="SYR48" s="159"/>
      <c r="SYS48" s="159"/>
      <c r="SYT48" s="159"/>
      <c r="SYU48" s="159"/>
      <c r="SYV48" s="159"/>
      <c r="SYW48" s="159"/>
      <c r="SYX48" s="159"/>
      <c r="SYY48" s="159"/>
      <c r="SYZ48" s="159"/>
      <c r="SZA48" s="159"/>
      <c r="SZB48" s="159"/>
      <c r="SZC48" s="159"/>
      <c r="SZD48" s="159"/>
      <c r="SZE48" s="159"/>
      <c r="SZF48" s="159"/>
      <c r="SZG48" s="159"/>
      <c r="SZH48" s="159"/>
      <c r="SZI48" s="159"/>
      <c r="SZJ48" s="159"/>
      <c r="SZK48" s="159"/>
      <c r="SZL48" s="159"/>
      <c r="SZM48" s="159"/>
      <c r="SZN48" s="159"/>
      <c r="SZO48" s="159"/>
      <c r="SZP48" s="159"/>
      <c r="SZQ48" s="159"/>
      <c r="SZR48" s="159"/>
      <c r="SZS48" s="159"/>
      <c r="SZT48" s="159"/>
      <c r="SZU48" s="159"/>
      <c r="SZV48" s="159"/>
      <c r="SZW48" s="159"/>
      <c r="SZX48" s="159"/>
      <c r="SZY48" s="159"/>
      <c r="SZZ48" s="159"/>
      <c r="TAA48" s="159"/>
      <c r="TAB48" s="159"/>
      <c r="TAC48" s="159"/>
      <c r="TAD48" s="159"/>
      <c r="TAE48" s="159"/>
      <c r="TAF48" s="159"/>
      <c r="TAG48" s="159"/>
      <c r="TAH48" s="159"/>
      <c r="TAI48" s="159"/>
      <c r="TAJ48" s="159"/>
      <c r="TAK48" s="159"/>
      <c r="TAL48" s="159"/>
      <c r="TAM48" s="159"/>
      <c r="TAN48" s="159"/>
      <c r="TAO48" s="159"/>
      <c r="TAP48" s="159"/>
      <c r="TAQ48" s="159"/>
      <c r="TAR48" s="159"/>
      <c r="TAS48" s="159"/>
      <c r="TAT48" s="159"/>
      <c r="TAU48" s="159"/>
      <c r="TAV48" s="159"/>
      <c r="TAW48" s="159"/>
      <c r="TAX48" s="159"/>
      <c r="TAY48" s="159"/>
      <c r="TAZ48" s="159"/>
      <c r="TBA48" s="159"/>
      <c r="TBB48" s="159"/>
      <c r="TBC48" s="159"/>
      <c r="TBD48" s="159"/>
      <c r="TBE48" s="159"/>
      <c r="TBF48" s="159"/>
      <c r="TBG48" s="159"/>
      <c r="TBH48" s="159"/>
      <c r="TBI48" s="159"/>
      <c r="TBJ48" s="159"/>
      <c r="TBK48" s="159"/>
      <c r="TBL48" s="159"/>
      <c r="TBM48" s="159"/>
      <c r="TBN48" s="159"/>
      <c r="TBO48" s="159"/>
      <c r="TBP48" s="159"/>
      <c r="TBQ48" s="159"/>
      <c r="TBR48" s="159"/>
      <c r="TBS48" s="159"/>
      <c r="TBT48" s="159"/>
      <c r="TBU48" s="159"/>
      <c r="TBV48" s="159"/>
      <c r="TBW48" s="159"/>
      <c r="TBX48" s="159"/>
      <c r="TBY48" s="159"/>
      <c r="TBZ48" s="159"/>
      <c r="TCA48" s="159"/>
      <c r="TCB48" s="159"/>
      <c r="TCC48" s="159"/>
      <c r="TCD48" s="159"/>
      <c r="TCE48" s="159"/>
      <c r="TCF48" s="159"/>
      <c r="TCG48" s="159"/>
      <c r="TCH48" s="159"/>
      <c r="TCI48" s="159"/>
      <c r="TCJ48" s="159"/>
      <c r="TCK48" s="159"/>
      <c r="TCL48" s="159"/>
      <c r="TCM48" s="159"/>
      <c r="TCN48" s="159"/>
      <c r="TCO48" s="159"/>
      <c r="TCP48" s="159"/>
      <c r="TCQ48" s="159"/>
      <c r="TCR48" s="159"/>
      <c r="TCS48" s="159"/>
      <c r="TCT48" s="159"/>
      <c r="TCU48" s="159"/>
      <c r="TCV48" s="159"/>
      <c r="TCW48" s="159"/>
      <c r="TCX48" s="159"/>
      <c r="TCY48" s="159"/>
      <c r="TCZ48" s="159"/>
      <c r="TDA48" s="159"/>
      <c r="TDB48" s="159"/>
      <c r="TDC48" s="159"/>
      <c r="TDD48" s="159"/>
      <c r="TDE48" s="159"/>
      <c r="TDF48" s="159"/>
      <c r="TDG48" s="159"/>
      <c r="TDH48" s="159"/>
      <c r="TDI48" s="159"/>
      <c r="TDJ48" s="159"/>
      <c r="TDK48" s="159"/>
      <c r="TDL48" s="159"/>
      <c r="TDM48" s="159"/>
      <c r="TDN48" s="159"/>
      <c r="TDO48" s="159"/>
      <c r="TDP48" s="159"/>
      <c r="TDQ48" s="159"/>
      <c r="TDR48" s="159"/>
      <c r="TDS48" s="159"/>
      <c r="TDT48" s="159"/>
      <c r="TDU48" s="159"/>
      <c r="TDV48" s="159"/>
      <c r="TDW48" s="159"/>
      <c r="TDX48" s="159"/>
      <c r="TDY48" s="159"/>
      <c r="TDZ48" s="159"/>
      <c r="TEA48" s="159"/>
      <c r="TEB48" s="159"/>
      <c r="TEC48" s="159"/>
      <c r="TED48" s="159"/>
      <c r="TEE48" s="159"/>
      <c r="TEF48" s="159"/>
      <c r="TEG48" s="159"/>
      <c r="TEH48" s="159"/>
      <c r="TEI48" s="159"/>
      <c r="TEJ48" s="159"/>
      <c r="TEK48" s="159"/>
      <c r="TEL48" s="159"/>
      <c r="TEM48" s="159"/>
      <c r="TEN48" s="159"/>
      <c r="TEO48" s="159"/>
      <c r="TEP48" s="159"/>
      <c r="TEQ48" s="159"/>
      <c r="TER48" s="159"/>
      <c r="TES48" s="159"/>
      <c r="TET48" s="159"/>
      <c r="TEU48" s="159"/>
      <c r="TEV48" s="159"/>
      <c r="TEW48" s="159"/>
      <c r="TEX48" s="159"/>
      <c r="TEY48" s="159"/>
      <c r="TEZ48" s="159"/>
      <c r="TFA48" s="159"/>
      <c r="TFB48" s="159"/>
      <c r="TFC48" s="159"/>
      <c r="TFD48" s="159"/>
      <c r="TFE48" s="159"/>
      <c r="TFF48" s="159"/>
      <c r="TFG48" s="159"/>
      <c r="TFH48" s="159"/>
      <c r="TFI48" s="159"/>
      <c r="TFJ48" s="159"/>
      <c r="TFK48" s="159"/>
      <c r="TFL48" s="159"/>
      <c r="TFM48" s="159"/>
      <c r="TFN48" s="159"/>
      <c r="TFO48" s="159"/>
      <c r="TFP48" s="159"/>
      <c r="TFQ48" s="159"/>
      <c r="TFR48" s="159"/>
      <c r="TFS48" s="159"/>
      <c r="TFT48" s="159"/>
      <c r="TFU48" s="159"/>
      <c r="TFV48" s="159"/>
      <c r="TFW48" s="159"/>
      <c r="TFX48" s="159"/>
      <c r="TFY48" s="159"/>
      <c r="TFZ48" s="159"/>
      <c r="TGA48" s="159"/>
      <c r="TGB48" s="159"/>
      <c r="TGC48" s="159"/>
      <c r="TGD48" s="159"/>
      <c r="TGE48" s="159"/>
      <c r="TGF48" s="159"/>
      <c r="TGG48" s="159"/>
      <c r="TGH48" s="159"/>
      <c r="TGI48" s="159"/>
      <c r="TGJ48" s="159"/>
      <c r="TGK48" s="159"/>
      <c r="TGL48" s="159"/>
      <c r="TGM48" s="159"/>
      <c r="TGN48" s="159"/>
      <c r="TGO48" s="159"/>
      <c r="TGP48" s="159"/>
      <c r="TGQ48" s="159"/>
      <c r="TGR48" s="159"/>
      <c r="TGS48" s="159"/>
      <c r="TGT48" s="159"/>
      <c r="TGU48" s="159"/>
      <c r="TGV48" s="159"/>
      <c r="TGW48" s="159"/>
      <c r="TGX48" s="159"/>
      <c r="TGY48" s="159"/>
      <c r="TGZ48" s="159"/>
      <c r="THA48" s="159"/>
      <c r="THB48" s="159"/>
      <c r="THC48" s="159"/>
      <c r="THD48" s="159"/>
      <c r="THE48" s="159"/>
      <c r="THF48" s="159"/>
      <c r="THG48" s="159"/>
      <c r="THH48" s="159"/>
      <c r="THI48" s="159"/>
      <c r="THJ48" s="159"/>
      <c r="THK48" s="159"/>
      <c r="THL48" s="159"/>
      <c r="THM48" s="159"/>
      <c r="THN48" s="159"/>
      <c r="THO48" s="159"/>
      <c r="THP48" s="159"/>
      <c r="THQ48" s="159"/>
      <c r="THR48" s="159"/>
      <c r="THS48" s="159"/>
      <c r="THT48" s="159"/>
      <c r="THU48" s="159"/>
      <c r="THV48" s="159"/>
      <c r="THW48" s="159"/>
      <c r="THX48" s="159"/>
      <c r="THY48" s="159"/>
      <c r="THZ48" s="159"/>
      <c r="TIA48" s="159"/>
      <c r="TIB48" s="159"/>
      <c r="TIC48" s="159"/>
      <c r="TID48" s="159"/>
      <c r="TIE48" s="159"/>
      <c r="TIF48" s="159"/>
      <c r="TIG48" s="159"/>
      <c r="TIH48" s="159"/>
      <c r="TII48" s="159"/>
      <c r="TIJ48" s="159"/>
      <c r="TIK48" s="159"/>
      <c r="TIL48" s="159"/>
      <c r="TIM48" s="159"/>
      <c r="TIN48" s="159"/>
      <c r="TIO48" s="159"/>
      <c r="TIP48" s="159"/>
      <c r="TIQ48" s="159"/>
      <c r="TIR48" s="159"/>
      <c r="TIS48" s="159"/>
      <c r="TIT48" s="159"/>
      <c r="TIU48" s="159"/>
      <c r="TIV48" s="159"/>
      <c r="TIW48" s="159"/>
      <c r="TIX48" s="159"/>
      <c r="TIY48" s="159"/>
      <c r="TIZ48" s="159"/>
      <c r="TJA48" s="159"/>
      <c r="TJB48" s="159"/>
      <c r="TJC48" s="159"/>
      <c r="TJD48" s="159"/>
      <c r="TJE48" s="159"/>
      <c r="TJF48" s="159"/>
      <c r="TJG48" s="159"/>
      <c r="TJH48" s="159"/>
      <c r="TJI48" s="159"/>
      <c r="TJJ48" s="159"/>
      <c r="TJK48" s="159"/>
      <c r="TJL48" s="159"/>
      <c r="TJM48" s="159"/>
      <c r="TJN48" s="159"/>
      <c r="TJO48" s="159"/>
      <c r="TJP48" s="159"/>
      <c r="TJQ48" s="159"/>
      <c r="TJR48" s="159"/>
      <c r="TJS48" s="159"/>
      <c r="TJT48" s="159"/>
      <c r="TJU48" s="159"/>
      <c r="TJV48" s="159"/>
      <c r="TJW48" s="159"/>
      <c r="TJX48" s="159"/>
      <c r="TJY48" s="159"/>
      <c r="TJZ48" s="159"/>
      <c r="TKA48" s="159"/>
      <c r="TKB48" s="159"/>
      <c r="TKC48" s="159"/>
      <c r="TKD48" s="159"/>
      <c r="TKE48" s="159"/>
      <c r="TKF48" s="159"/>
      <c r="TKG48" s="159"/>
      <c r="TKH48" s="159"/>
      <c r="TKI48" s="159"/>
      <c r="TKJ48" s="159"/>
      <c r="TKK48" s="159"/>
      <c r="TKL48" s="159"/>
      <c r="TKM48" s="159"/>
      <c r="TKN48" s="159"/>
      <c r="TKO48" s="159"/>
      <c r="TKP48" s="159"/>
      <c r="TKQ48" s="159"/>
      <c r="TKR48" s="159"/>
      <c r="TKS48" s="159"/>
      <c r="TKT48" s="159"/>
      <c r="TKU48" s="159"/>
      <c r="TKV48" s="159"/>
      <c r="TKW48" s="159"/>
      <c r="TKX48" s="159"/>
      <c r="TKY48" s="159"/>
      <c r="TKZ48" s="159"/>
      <c r="TLA48" s="159"/>
      <c r="TLB48" s="159"/>
      <c r="TLC48" s="159"/>
      <c r="TLD48" s="159"/>
      <c r="TLE48" s="159"/>
      <c r="TLF48" s="159"/>
      <c r="TLG48" s="159"/>
      <c r="TLH48" s="159"/>
      <c r="TLI48" s="159"/>
      <c r="TLJ48" s="159"/>
      <c r="TLK48" s="159"/>
      <c r="TLL48" s="159"/>
      <c r="TLM48" s="159"/>
      <c r="TLN48" s="159"/>
      <c r="TLO48" s="159"/>
      <c r="TLP48" s="159"/>
      <c r="TLQ48" s="159"/>
      <c r="TLR48" s="159"/>
      <c r="TLS48" s="159"/>
      <c r="TLT48" s="159"/>
      <c r="TLU48" s="159"/>
      <c r="TLV48" s="159"/>
      <c r="TLW48" s="159"/>
      <c r="TLX48" s="159"/>
      <c r="TLY48" s="159"/>
      <c r="TLZ48" s="159"/>
      <c r="TMA48" s="159"/>
      <c r="TMB48" s="159"/>
      <c r="TMC48" s="159"/>
      <c r="TMD48" s="159"/>
      <c r="TME48" s="159"/>
      <c r="TMF48" s="159"/>
      <c r="TMG48" s="159"/>
      <c r="TMH48" s="159"/>
      <c r="TMI48" s="159"/>
      <c r="TMJ48" s="159"/>
      <c r="TMK48" s="159"/>
      <c r="TML48" s="159"/>
      <c r="TMM48" s="159"/>
      <c r="TMN48" s="159"/>
      <c r="TMO48" s="159"/>
      <c r="TMP48" s="159"/>
      <c r="TMQ48" s="159"/>
      <c r="TMR48" s="159"/>
      <c r="TMS48" s="159"/>
      <c r="TMT48" s="159"/>
      <c r="TMU48" s="159"/>
      <c r="TMV48" s="159"/>
      <c r="TMW48" s="159"/>
      <c r="TMX48" s="159"/>
      <c r="TMY48" s="159"/>
      <c r="TMZ48" s="159"/>
      <c r="TNA48" s="159"/>
      <c r="TNB48" s="159"/>
      <c r="TNC48" s="159"/>
      <c r="TND48" s="159"/>
      <c r="TNE48" s="159"/>
      <c r="TNF48" s="159"/>
      <c r="TNG48" s="159"/>
      <c r="TNH48" s="159"/>
      <c r="TNI48" s="159"/>
      <c r="TNJ48" s="159"/>
      <c r="TNK48" s="159"/>
      <c r="TNL48" s="159"/>
      <c r="TNM48" s="159"/>
      <c r="TNN48" s="159"/>
      <c r="TNO48" s="159"/>
      <c r="TNP48" s="159"/>
      <c r="TNQ48" s="159"/>
      <c r="TNR48" s="159"/>
      <c r="TNS48" s="159"/>
      <c r="TNT48" s="159"/>
      <c r="TNU48" s="159"/>
      <c r="TNV48" s="159"/>
      <c r="TNW48" s="159"/>
      <c r="TNX48" s="159"/>
      <c r="TNY48" s="159"/>
      <c r="TNZ48" s="159"/>
      <c r="TOA48" s="159"/>
      <c r="TOB48" s="159"/>
      <c r="TOC48" s="159"/>
      <c r="TOD48" s="159"/>
      <c r="TOE48" s="159"/>
      <c r="TOF48" s="159"/>
      <c r="TOG48" s="159"/>
      <c r="TOH48" s="159"/>
      <c r="TOI48" s="159"/>
      <c r="TOJ48" s="159"/>
      <c r="TOK48" s="159"/>
      <c r="TOL48" s="159"/>
      <c r="TOM48" s="159"/>
      <c r="TON48" s="159"/>
      <c r="TOO48" s="159"/>
      <c r="TOP48" s="159"/>
      <c r="TOQ48" s="159"/>
      <c r="TOR48" s="159"/>
      <c r="TOS48" s="159"/>
      <c r="TOT48" s="159"/>
      <c r="TOU48" s="159"/>
      <c r="TOV48" s="159"/>
      <c r="TOW48" s="159"/>
      <c r="TOX48" s="159"/>
      <c r="TOY48" s="159"/>
      <c r="TOZ48" s="159"/>
      <c r="TPA48" s="159"/>
      <c r="TPB48" s="159"/>
      <c r="TPC48" s="159"/>
      <c r="TPD48" s="159"/>
      <c r="TPE48" s="159"/>
      <c r="TPF48" s="159"/>
      <c r="TPG48" s="159"/>
      <c r="TPH48" s="159"/>
      <c r="TPI48" s="159"/>
      <c r="TPJ48" s="159"/>
      <c r="TPK48" s="159"/>
      <c r="TPL48" s="159"/>
      <c r="TPM48" s="159"/>
      <c r="TPN48" s="159"/>
      <c r="TPO48" s="159"/>
      <c r="TPP48" s="159"/>
      <c r="TPQ48" s="159"/>
      <c r="TPR48" s="159"/>
      <c r="TPS48" s="159"/>
      <c r="TPT48" s="159"/>
      <c r="TPU48" s="159"/>
      <c r="TPV48" s="159"/>
      <c r="TPW48" s="159"/>
      <c r="TPX48" s="159"/>
      <c r="TPY48" s="159"/>
      <c r="TPZ48" s="159"/>
      <c r="TQA48" s="159"/>
      <c r="TQB48" s="159"/>
      <c r="TQC48" s="159"/>
      <c r="TQD48" s="159"/>
      <c r="TQE48" s="159"/>
      <c r="TQF48" s="159"/>
      <c r="TQG48" s="159"/>
      <c r="TQH48" s="159"/>
      <c r="TQI48" s="159"/>
      <c r="TQJ48" s="159"/>
      <c r="TQK48" s="159"/>
      <c r="TQL48" s="159"/>
      <c r="TQM48" s="159"/>
      <c r="TQN48" s="159"/>
      <c r="TQO48" s="159"/>
      <c r="TQP48" s="159"/>
      <c r="TQQ48" s="159"/>
      <c r="TQR48" s="159"/>
      <c r="TQS48" s="159"/>
      <c r="TQT48" s="159"/>
      <c r="TQU48" s="159"/>
      <c r="TQV48" s="159"/>
      <c r="TQW48" s="159"/>
      <c r="TQX48" s="159"/>
      <c r="TQY48" s="159"/>
      <c r="TQZ48" s="159"/>
      <c r="TRA48" s="159"/>
      <c r="TRB48" s="159"/>
      <c r="TRC48" s="159"/>
      <c r="TRD48" s="159"/>
      <c r="TRE48" s="159"/>
      <c r="TRF48" s="159"/>
      <c r="TRG48" s="159"/>
      <c r="TRH48" s="159"/>
      <c r="TRI48" s="159"/>
      <c r="TRJ48" s="159"/>
      <c r="TRK48" s="159"/>
      <c r="TRL48" s="159"/>
      <c r="TRM48" s="159"/>
      <c r="TRN48" s="159"/>
      <c r="TRO48" s="159"/>
      <c r="TRP48" s="159"/>
      <c r="TRQ48" s="159"/>
      <c r="TRR48" s="159"/>
      <c r="TRS48" s="159"/>
      <c r="TRT48" s="159"/>
      <c r="TRU48" s="159"/>
      <c r="TRV48" s="159"/>
      <c r="TRW48" s="159"/>
      <c r="TRX48" s="159"/>
      <c r="TRY48" s="159"/>
      <c r="TRZ48" s="159"/>
      <c r="TSA48" s="159"/>
      <c r="TSB48" s="159"/>
      <c r="TSC48" s="159"/>
      <c r="TSD48" s="159"/>
      <c r="TSE48" s="159"/>
      <c r="TSF48" s="159"/>
      <c r="TSG48" s="159"/>
      <c r="TSH48" s="159"/>
      <c r="TSI48" s="159"/>
      <c r="TSJ48" s="159"/>
      <c r="TSK48" s="159"/>
      <c r="TSL48" s="159"/>
      <c r="TSM48" s="159"/>
      <c r="TSN48" s="159"/>
      <c r="TSO48" s="159"/>
      <c r="TSP48" s="159"/>
      <c r="TSQ48" s="159"/>
      <c r="TSR48" s="159"/>
      <c r="TSS48" s="159"/>
      <c r="TST48" s="159"/>
      <c r="TSU48" s="159"/>
      <c r="TSV48" s="159"/>
      <c r="TSW48" s="159"/>
      <c r="TSX48" s="159"/>
      <c r="TSY48" s="159"/>
      <c r="TSZ48" s="159"/>
      <c r="TTA48" s="159"/>
      <c r="TTB48" s="159"/>
      <c r="TTC48" s="159"/>
      <c r="TTD48" s="159"/>
      <c r="TTE48" s="159"/>
      <c r="TTF48" s="159"/>
      <c r="TTG48" s="159"/>
      <c r="TTH48" s="159"/>
      <c r="TTI48" s="159"/>
      <c r="TTJ48" s="159"/>
      <c r="TTK48" s="159"/>
      <c r="TTL48" s="159"/>
      <c r="TTM48" s="159"/>
      <c r="TTN48" s="159"/>
      <c r="TTO48" s="159"/>
      <c r="TTP48" s="159"/>
      <c r="TTQ48" s="159"/>
      <c r="TTR48" s="159"/>
      <c r="TTS48" s="159"/>
      <c r="TTT48" s="159"/>
      <c r="TTU48" s="159"/>
      <c r="TTV48" s="159"/>
      <c r="TTW48" s="159"/>
      <c r="TTX48" s="159"/>
      <c r="TTY48" s="159"/>
      <c r="TTZ48" s="159"/>
      <c r="TUA48" s="159"/>
      <c r="TUB48" s="159"/>
      <c r="TUC48" s="159"/>
      <c r="TUD48" s="159"/>
      <c r="TUE48" s="159"/>
      <c r="TUF48" s="159"/>
      <c r="TUG48" s="159"/>
      <c r="TUH48" s="159"/>
      <c r="TUI48" s="159"/>
      <c r="TUJ48" s="159"/>
      <c r="TUK48" s="159"/>
      <c r="TUL48" s="159"/>
      <c r="TUM48" s="159"/>
      <c r="TUN48" s="159"/>
      <c r="TUO48" s="159"/>
      <c r="TUP48" s="159"/>
      <c r="TUQ48" s="159"/>
      <c r="TUR48" s="159"/>
      <c r="TUS48" s="159"/>
      <c r="TUT48" s="159"/>
      <c r="TUU48" s="159"/>
      <c r="TUV48" s="159"/>
      <c r="TUW48" s="159"/>
      <c r="TUX48" s="159"/>
      <c r="TUY48" s="159"/>
      <c r="TUZ48" s="159"/>
      <c r="TVA48" s="159"/>
      <c r="TVB48" s="159"/>
      <c r="TVC48" s="159"/>
      <c r="TVD48" s="159"/>
      <c r="TVE48" s="159"/>
      <c r="TVF48" s="159"/>
      <c r="TVG48" s="159"/>
      <c r="TVH48" s="159"/>
      <c r="TVI48" s="159"/>
      <c r="TVJ48" s="159"/>
      <c r="TVK48" s="159"/>
      <c r="TVL48" s="159"/>
      <c r="TVM48" s="159"/>
      <c r="TVN48" s="159"/>
      <c r="TVO48" s="159"/>
      <c r="TVP48" s="159"/>
      <c r="TVQ48" s="159"/>
      <c r="TVR48" s="159"/>
      <c r="TVS48" s="159"/>
      <c r="TVT48" s="159"/>
      <c r="TVU48" s="159"/>
      <c r="TVV48" s="159"/>
      <c r="TVW48" s="159"/>
      <c r="TVX48" s="159"/>
      <c r="TVY48" s="159"/>
      <c r="TVZ48" s="159"/>
      <c r="TWA48" s="159"/>
      <c r="TWB48" s="159"/>
      <c r="TWC48" s="159"/>
      <c r="TWD48" s="159"/>
      <c r="TWE48" s="159"/>
      <c r="TWF48" s="159"/>
      <c r="TWG48" s="159"/>
      <c r="TWH48" s="159"/>
      <c r="TWI48" s="159"/>
      <c r="TWJ48" s="159"/>
      <c r="TWK48" s="159"/>
      <c r="TWL48" s="159"/>
      <c r="TWM48" s="159"/>
      <c r="TWN48" s="159"/>
      <c r="TWO48" s="159"/>
      <c r="TWP48" s="159"/>
      <c r="TWQ48" s="159"/>
      <c r="TWR48" s="159"/>
      <c r="TWS48" s="159"/>
      <c r="TWT48" s="159"/>
      <c r="TWU48" s="159"/>
      <c r="TWV48" s="159"/>
      <c r="TWW48" s="159"/>
      <c r="TWX48" s="159"/>
      <c r="TWY48" s="159"/>
      <c r="TWZ48" s="159"/>
      <c r="TXA48" s="159"/>
      <c r="TXB48" s="159"/>
      <c r="TXC48" s="159"/>
      <c r="TXD48" s="159"/>
      <c r="TXE48" s="159"/>
      <c r="TXF48" s="159"/>
      <c r="TXG48" s="159"/>
      <c r="TXH48" s="159"/>
      <c r="TXI48" s="159"/>
      <c r="TXJ48" s="159"/>
      <c r="TXK48" s="159"/>
      <c r="TXL48" s="159"/>
      <c r="TXM48" s="159"/>
      <c r="TXN48" s="159"/>
      <c r="TXO48" s="159"/>
      <c r="TXP48" s="159"/>
      <c r="TXQ48" s="159"/>
      <c r="TXR48" s="159"/>
      <c r="TXS48" s="159"/>
      <c r="TXT48" s="159"/>
      <c r="TXU48" s="159"/>
      <c r="TXV48" s="159"/>
      <c r="TXW48" s="159"/>
      <c r="TXX48" s="159"/>
      <c r="TXY48" s="159"/>
      <c r="TXZ48" s="159"/>
      <c r="TYA48" s="159"/>
      <c r="TYB48" s="159"/>
      <c r="TYC48" s="159"/>
      <c r="TYD48" s="159"/>
      <c r="TYE48" s="159"/>
      <c r="TYF48" s="159"/>
      <c r="TYG48" s="159"/>
      <c r="TYH48" s="159"/>
      <c r="TYI48" s="159"/>
      <c r="TYJ48" s="159"/>
      <c r="TYK48" s="159"/>
      <c r="TYL48" s="159"/>
      <c r="TYM48" s="159"/>
      <c r="TYN48" s="159"/>
      <c r="TYO48" s="159"/>
      <c r="TYP48" s="159"/>
      <c r="TYQ48" s="159"/>
      <c r="TYR48" s="159"/>
      <c r="TYS48" s="159"/>
      <c r="TYT48" s="159"/>
      <c r="TYU48" s="159"/>
      <c r="TYV48" s="159"/>
      <c r="TYW48" s="159"/>
      <c r="TYX48" s="159"/>
      <c r="TYY48" s="159"/>
      <c r="TYZ48" s="159"/>
      <c r="TZA48" s="159"/>
      <c r="TZB48" s="159"/>
      <c r="TZC48" s="159"/>
      <c r="TZD48" s="159"/>
      <c r="TZE48" s="159"/>
      <c r="TZF48" s="159"/>
      <c r="TZG48" s="159"/>
      <c r="TZH48" s="159"/>
      <c r="TZI48" s="159"/>
      <c r="TZJ48" s="159"/>
      <c r="TZK48" s="159"/>
      <c r="TZL48" s="159"/>
      <c r="TZM48" s="159"/>
      <c r="TZN48" s="159"/>
      <c r="TZO48" s="159"/>
      <c r="TZP48" s="159"/>
      <c r="TZQ48" s="159"/>
      <c r="TZR48" s="159"/>
      <c r="TZS48" s="159"/>
      <c r="TZT48" s="159"/>
      <c r="TZU48" s="159"/>
      <c r="TZV48" s="159"/>
      <c r="TZW48" s="159"/>
      <c r="TZX48" s="159"/>
      <c r="TZY48" s="159"/>
      <c r="TZZ48" s="159"/>
      <c r="UAA48" s="159"/>
      <c r="UAB48" s="159"/>
      <c r="UAC48" s="159"/>
      <c r="UAD48" s="159"/>
      <c r="UAE48" s="159"/>
      <c r="UAF48" s="159"/>
      <c r="UAG48" s="159"/>
      <c r="UAH48" s="159"/>
      <c r="UAI48" s="159"/>
      <c r="UAJ48" s="159"/>
      <c r="UAK48" s="159"/>
      <c r="UAL48" s="159"/>
      <c r="UAM48" s="159"/>
      <c r="UAN48" s="159"/>
      <c r="UAO48" s="159"/>
      <c r="UAP48" s="159"/>
      <c r="UAQ48" s="159"/>
      <c r="UAR48" s="159"/>
      <c r="UAS48" s="159"/>
      <c r="UAT48" s="159"/>
      <c r="UAU48" s="159"/>
      <c r="UAV48" s="159"/>
      <c r="UAW48" s="159"/>
      <c r="UAX48" s="159"/>
      <c r="UAY48" s="159"/>
      <c r="UAZ48" s="159"/>
      <c r="UBA48" s="159"/>
      <c r="UBB48" s="159"/>
      <c r="UBC48" s="159"/>
      <c r="UBD48" s="159"/>
      <c r="UBE48" s="159"/>
      <c r="UBF48" s="159"/>
      <c r="UBG48" s="159"/>
      <c r="UBH48" s="159"/>
      <c r="UBI48" s="159"/>
      <c r="UBJ48" s="159"/>
      <c r="UBK48" s="159"/>
      <c r="UBL48" s="159"/>
      <c r="UBM48" s="159"/>
      <c r="UBN48" s="159"/>
      <c r="UBO48" s="159"/>
      <c r="UBP48" s="159"/>
      <c r="UBQ48" s="159"/>
      <c r="UBR48" s="159"/>
      <c r="UBS48" s="159"/>
      <c r="UBT48" s="159"/>
      <c r="UBU48" s="159"/>
      <c r="UBV48" s="159"/>
      <c r="UBW48" s="159"/>
      <c r="UBX48" s="159"/>
      <c r="UBY48" s="159"/>
      <c r="UBZ48" s="159"/>
      <c r="UCA48" s="159"/>
      <c r="UCB48" s="159"/>
      <c r="UCC48" s="159"/>
      <c r="UCD48" s="159"/>
      <c r="UCE48" s="159"/>
      <c r="UCF48" s="159"/>
      <c r="UCG48" s="159"/>
      <c r="UCH48" s="159"/>
      <c r="UCI48" s="159"/>
      <c r="UCJ48" s="159"/>
      <c r="UCK48" s="159"/>
      <c r="UCL48" s="159"/>
      <c r="UCM48" s="159"/>
      <c r="UCN48" s="159"/>
      <c r="UCO48" s="159"/>
      <c r="UCP48" s="159"/>
      <c r="UCQ48" s="159"/>
      <c r="UCR48" s="159"/>
      <c r="UCS48" s="159"/>
      <c r="UCT48" s="159"/>
      <c r="UCU48" s="159"/>
      <c r="UCV48" s="159"/>
      <c r="UCW48" s="159"/>
      <c r="UCX48" s="159"/>
      <c r="UCY48" s="159"/>
      <c r="UCZ48" s="159"/>
      <c r="UDA48" s="159"/>
      <c r="UDB48" s="159"/>
      <c r="UDC48" s="159"/>
      <c r="UDD48" s="159"/>
      <c r="UDE48" s="159"/>
      <c r="UDF48" s="159"/>
      <c r="UDG48" s="159"/>
      <c r="UDH48" s="159"/>
      <c r="UDI48" s="159"/>
      <c r="UDJ48" s="159"/>
      <c r="UDK48" s="159"/>
      <c r="UDL48" s="159"/>
      <c r="UDM48" s="159"/>
      <c r="UDN48" s="159"/>
      <c r="UDO48" s="159"/>
      <c r="UDP48" s="159"/>
      <c r="UDQ48" s="159"/>
      <c r="UDR48" s="159"/>
      <c r="UDS48" s="159"/>
      <c r="UDT48" s="159"/>
      <c r="UDU48" s="159"/>
      <c r="UDV48" s="159"/>
      <c r="UDW48" s="159"/>
      <c r="UDX48" s="159"/>
      <c r="UDY48" s="159"/>
      <c r="UDZ48" s="159"/>
      <c r="UEA48" s="159"/>
      <c r="UEB48" s="159"/>
      <c r="UEC48" s="159"/>
      <c r="UED48" s="159"/>
      <c r="UEE48" s="159"/>
      <c r="UEF48" s="159"/>
      <c r="UEG48" s="159"/>
      <c r="UEH48" s="159"/>
      <c r="UEI48" s="159"/>
      <c r="UEJ48" s="159"/>
      <c r="UEK48" s="159"/>
      <c r="UEL48" s="159"/>
      <c r="UEM48" s="159"/>
      <c r="UEN48" s="159"/>
      <c r="UEO48" s="159"/>
      <c r="UEP48" s="159"/>
      <c r="UEQ48" s="159"/>
      <c r="UER48" s="159"/>
      <c r="UES48" s="159"/>
      <c r="UET48" s="159"/>
      <c r="UEU48" s="159"/>
      <c r="UEV48" s="159"/>
      <c r="UEW48" s="159"/>
      <c r="UEX48" s="159"/>
      <c r="UEY48" s="159"/>
      <c r="UEZ48" s="159"/>
      <c r="UFA48" s="159"/>
      <c r="UFB48" s="159"/>
      <c r="UFC48" s="159"/>
      <c r="UFD48" s="159"/>
      <c r="UFE48" s="159"/>
      <c r="UFF48" s="159"/>
      <c r="UFG48" s="159"/>
      <c r="UFH48" s="159"/>
      <c r="UFI48" s="159"/>
      <c r="UFJ48" s="159"/>
      <c r="UFK48" s="159"/>
      <c r="UFL48" s="159"/>
      <c r="UFM48" s="159"/>
      <c r="UFN48" s="159"/>
      <c r="UFO48" s="159"/>
      <c r="UFP48" s="159"/>
      <c r="UFQ48" s="159"/>
      <c r="UFR48" s="159"/>
      <c r="UFS48" s="159"/>
      <c r="UFT48" s="159"/>
      <c r="UFU48" s="159"/>
      <c r="UFV48" s="159"/>
      <c r="UFW48" s="159"/>
      <c r="UFX48" s="159"/>
      <c r="UFY48" s="159"/>
      <c r="UFZ48" s="159"/>
      <c r="UGA48" s="159"/>
      <c r="UGB48" s="159"/>
      <c r="UGC48" s="159"/>
      <c r="UGD48" s="159"/>
      <c r="UGE48" s="159"/>
      <c r="UGF48" s="159"/>
      <c r="UGG48" s="159"/>
      <c r="UGH48" s="159"/>
      <c r="UGI48" s="159"/>
      <c r="UGJ48" s="159"/>
      <c r="UGK48" s="159"/>
      <c r="UGL48" s="159"/>
      <c r="UGM48" s="159"/>
      <c r="UGN48" s="159"/>
      <c r="UGO48" s="159"/>
      <c r="UGP48" s="159"/>
      <c r="UGQ48" s="159"/>
      <c r="UGR48" s="159"/>
      <c r="UGS48" s="159"/>
      <c r="UGT48" s="159"/>
      <c r="UGU48" s="159"/>
      <c r="UGV48" s="159"/>
      <c r="UGW48" s="159"/>
      <c r="UGX48" s="159"/>
      <c r="UGY48" s="159"/>
      <c r="UGZ48" s="159"/>
      <c r="UHA48" s="159"/>
      <c r="UHB48" s="159"/>
      <c r="UHC48" s="159"/>
      <c r="UHD48" s="159"/>
      <c r="UHE48" s="159"/>
      <c r="UHF48" s="159"/>
      <c r="UHG48" s="159"/>
      <c r="UHH48" s="159"/>
      <c r="UHI48" s="159"/>
      <c r="UHJ48" s="159"/>
      <c r="UHK48" s="159"/>
      <c r="UHL48" s="159"/>
      <c r="UHM48" s="159"/>
      <c r="UHN48" s="159"/>
      <c r="UHO48" s="159"/>
      <c r="UHP48" s="159"/>
      <c r="UHQ48" s="159"/>
      <c r="UHR48" s="159"/>
      <c r="UHS48" s="159"/>
      <c r="UHT48" s="159"/>
      <c r="UHU48" s="159"/>
      <c r="UHV48" s="159"/>
      <c r="UHW48" s="159"/>
      <c r="UHX48" s="159"/>
      <c r="UHY48" s="159"/>
      <c r="UHZ48" s="159"/>
      <c r="UIA48" s="159"/>
      <c r="UIB48" s="159"/>
      <c r="UIC48" s="159"/>
      <c r="UID48" s="159"/>
      <c r="UIE48" s="159"/>
      <c r="UIF48" s="159"/>
      <c r="UIG48" s="159"/>
      <c r="UIH48" s="159"/>
      <c r="UII48" s="159"/>
      <c r="UIJ48" s="159"/>
      <c r="UIK48" s="159"/>
      <c r="UIL48" s="159"/>
      <c r="UIM48" s="159"/>
      <c r="UIN48" s="159"/>
      <c r="UIO48" s="159"/>
      <c r="UIP48" s="159"/>
      <c r="UIQ48" s="159"/>
      <c r="UIR48" s="159"/>
      <c r="UIS48" s="159"/>
      <c r="UIT48" s="159"/>
      <c r="UIU48" s="159"/>
      <c r="UIV48" s="159"/>
      <c r="UIW48" s="159"/>
      <c r="UIX48" s="159"/>
      <c r="UIY48" s="159"/>
      <c r="UIZ48" s="159"/>
      <c r="UJA48" s="159"/>
      <c r="UJB48" s="159"/>
      <c r="UJC48" s="159"/>
      <c r="UJD48" s="159"/>
      <c r="UJE48" s="159"/>
      <c r="UJF48" s="159"/>
      <c r="UJG48" s="159"/>
      <c r="UJH48" s="159"/>
      <c r="UJI48" s="159"/>
      <c r="UJJ48" s="159"/>
      <c r="UJK48" s="159"/>
      <c r="UJL48" s="159"/>
      <c r="UJM48" s="159"/>
      <c r="UJN48" s="159"/>
      <c r="UJO48" s="159"/>
      <c r="UJP48" s="159"/>
      <c r="UJQ48" s="159"/>
      <c r="UJR48" s="159"/>
      <c r="UJS48" s="159"/>
      <c r="UJT48" s="159"/>
      <c r="UJU48" s="159"/>
      <c r="UJV48" s="159"/>
      <c r="UJW48" s="159"/>
      <c r="UJX48" s="159"/>
      <c r="UJY48" s="159"/>
      <c r="UJZ48" s="159"/>
      <c r="UKA48" s="159"/>
      <c r="UKB48" s="159"/>
      <c r="UKC48" s="159"/>
      <c r="UKD48" s="159"/>
      <c r="UKE48" s="159"/>
      <c r="UKF48" s="159"/>
      <c r="UKG48" s="159"/>
      <c r="UKH48" s="159"/>
      <c r="UKI48" s="159"/>
      <c r="UKJ48" s="159"/>
      <c r="UKK48" s="159"/>
      <c r="UKL48" s="159"/>
      <c r="UKM48" s="159"/>
      <c r="UKN48" s="159"/>
      <c r="UKO48" s="159"/>
      <c r="UKP48" s="159"/>
      <c r="UKQ48" s="159"/>
      <c r="UKR48" s="159"/>
      <c r="UKS48" s="159"/>
      <c r="UKT48" s="159"/>
      <c r="UKU48" s="159"/>
      <c r="UKV48" s="159"/>
      <c r="UKW48" s="159"/>
      <c r="UKX48" s="159"/>
      <c r="UKY48" s="159"/>
      <c r="UKZ48" s="159"/>
      <c r="ULA48" s="159"/>
      <c r="ULB48" s="159"/>
      <c r="ULC48" s="159"/>
      <c r="ULD48" s="159"/>
      <c r="ULE48" s="159"/>
      <c r="ULF48" s="159"/>
      <c r="ULG48" s="159"/>
      <c r="ULH48" s="159"/>
      <c r="ULI48" s="159"/>
      <c r="ULJ48" s="159"/>
      <c r="ULK48" s="159"/>
      <c r="ULL48" s="159"/>
      <c r="ULM48" s="159"/>
      <c r="ULN48" s="159"/>
      <c r="ULO48" s="159"/>
      <c r="ULP48" s="159"/>
      <c r="ULQ48" s="159"/>
      <c r="ULR48" s="159"/>
      <c r="ULS48" s="159"/>
      <c r="ULT48" s="159"/>
      <c r="ULU48" s="159"/>
      <c r="ULV48" s="159"/>
      <c r="ULW48" s="159"/>
      <c r="ULX48" s="159"/>
      <c r="ULY48" s="159"/>
      <c r="ULZ48" s="159"/>
      <c r="UMA48" s="159"/>
      <c r="UMB48" s="159"/>
      <c r="UMC48" s="159"/>
      <c r="UMD48" s="159"/>
      <c r="UME48" s="159"/>
      <c r="UMF48" s="159"/>
      <c r="UMG48" s="159"/>
      <c r="UMH48" s="159"/>
      <c r="UMI48" s="159"/>
      <c r="UMJ48" s="159"/>
      <c r="UMK48" s="159"/>
      <c r="UML48" s="159"/>
      <c r="UMM48" s="159"/>
      <c r="UMN48" s="159"/>
      <c r="UMO48" s="159"/>
      <c r="UMP48" s="159"/>
      <c r="UMQ48" s="159"/>
      <c r="UMR48" s="159"/>
      <c r="UMS48" s="159"/>
      <c r="UMT48" s="159"/>
      <c r="UMU48" s="159"/>
      <c r="UMV48" s="159"/>
      <c r="UMW48" s="159"/>
      <c r="UMX48" s="159"/>
      <c r="UMY48" s="159"/>
      <c r="UMZ48" s="159"/>
      <c r="UNA48" s="159"/>
      <c r="UNB48" s="159"/>
      <c r="UNC48" s="159"/>
      <c r="UND48" s="159"/>
      <c r="UNE48" s="159"/>
      <c r="UNF48" s="159"/>
      <c r="UNG48" s="159"/>
      <c r="UNH48" s="159"/>
      <c r="UNI48" s="159"/>
      <c r="UNJ48" s="159"/>
      <c r="UNK48" s="159"/>
      <c r="UNL48" s="159"/>
      <c r="UNM48" s="159"/>
      <c r="UNN48" s="159"/>
      <c r="UNO48" s="159"/>
      <c r="UNP48" s="159"/>
      <c r="UNQ48" s="159"/>
      <c r="UNR48" s="159"/>
      <c r="UNS48" s="159"/>
      <c r="UNT48" s="159"/>
      <c r="UNU48" s="159"/>
      <c r="UNV48" s="159"/>
      <c r="UNW48" s="159"/>
      <c r="UNX48" s="159"/>
      <c r="UNY48" s="159"/>
      <c r="UNZ48" s="159"/>
      <c r="UOA48" s="159"/>
      <c r="UOB48" s="159"/>
      <c r="UOC48" s="159"/>
      <c r="UOD48" s="159"/>
      <c r="UOE48" s="159"/>
      <c r="UOF48" s="159"/>
      <c r="UOG48" s="159"/>
      <c r="UOH48" s="159"/>
      <c r="UOI48" s="159"/>
      <c r="UOJ48" s="159"/>
      <c r="UOK48" s="159"/>
      <c r="UOL48" s="159"/>
      <c r="UOM48" s="159"/>
      <c r="UON48" s="159"/>
      <c r="UOO48" s="159"/>
      <c r="UOP48" s="159"/>
      <c r="UOQ48" s="159"/>
      <c r="UOR48" s="159"/>
      <c r="UOS48" s="159"/>
      <c r="UOT48" s="159"/>
      <c r="UOU48" s="159"/>
      <c r="UOV48" s="159"/>
      <c r="UOW48" s="159"/>
      <c r="UOX48" s="159"/>
      <c r="UOY48" s="159"/>
      <c r="UOZ48" s="159"/>
      <c r="UPA48" s="159"/>
      <c r="UPB48" s="159"/>
      <c r="UPC48" s="159"/>
      <c r="UPD48" s="159"/>
      <c r="UPE48" s="159"/>
      <c r="UPF48" s="159"/>
      <c r="UPG48" s="159"/>
      <c r="UPH48" s="159"/>
      <c r="UPI48" s="159"/>
      <c r="UPJ48" s="159"/>
      <c r="UPK48" s="159"/>
      <c r="UPL48" s="159"/>
      <c r="UPM48" s="159"/>
      <c r="UPN48" s="159"/>
      <c r="UPO48" s="159"/>
      <c r="UPP48" s="159"/>
      <c r="UPQ48" s="159"/>
      <c r="UPR48" s="159"/>
      <c r="UPS48" s="159"/>
      <c r="UPT48" s="159"/>
      <c r="UPU48" s="159"/>
      <c r="UPV48" s="159"/>
      <c r="UPW48" s="159"/>
      <c r="UPX48" s="159"/>
      <c r="UPY48" s="159"/>
      <c r="UPZ48" s="159"/>
      <c r="UQA48" s="159"/>
      <c r="UQB48" s="159"/>
      <c r="UQC48" s="159"/>
      <c r="UQD48" s="159"/>
      <c r="UQE48" s="159"/>
      <c r="UQF48" s="159"/>
      <c r="UQG48" s="159"/>
      <c r="UQH48" s="159"/>
      <c r="UQI48" s="159"/>
      <c r="UQJ48" s="159"/>
      <c r="UQK48" s="159"/>
      <c r="UQL48" s="159"/>
      <c r="UQM48" s="159"/>
      <c r="UQN48" s="159"/>
      <c r="UQO48" s="159"/>
      <c r="UQP48" s="159"/>
      <c r="UQQ48" s="159"/>
      <c r="UQR48" s="159"/>
      <c r="UQS48" s="159"/>
      <c r="UQT48" s="159"/>
      <c r="UQU48" s="159"/>
      <c r="UQV48" s="159"/>
      <c r="UQW48" s="159"/>
      <c r="UQX48" s="159"/>
      <c r="UQY48" s="159"/>
      <c r="UQZ48" s="159"/>
      <c r="URA48" s="159"/>
      <c r="URB48" s="159"/>
      <c r="URC48" s="159"/>
      <c r="URD48" s="159"/>
      <c r="URE48" s="159"/>
      <c r="URF48" s="159"/>
      <c r="URG48" s="159"/>
      <c r="URH48" s="159"/>
      <c r="URI48" s="159"/>
      <c r="URJ48" s="159"/>
      <c r="URK48" s="159"/>
      <c r="URL48" s="159"/>
      <c r="URM48" s="159"/>
      <c r="URN48" s="159"/>
      <c r="URO48" s="159"/>
      <c r="URP48" s="159"/>
      <c r="URQ48" s="159"/>
      <c r="URR48" s="159"/>
      <c r="URS48" s="159"/>
      <c r="URT48" s="159"/>
      <c r="URU48" s="159"/>
      <c r="URV48" s="159"/>
      <c r="URW48" s="159"/>
      <c r="URX48" s="159"/>
      <c r="URY48" s="159"/>
      <c r="URZ48" s="159"/>
      <c r="USA48" s="159"/>
      <c r="USB48" s="159"/>
      <c r="USC48" s="159"/>
      <c r="USD48" s="159"/>
      <c r="USE48" s="159"/>
      <c r="USF48" s="159"/>
      <c r="USG48" s="159"/>
      <c r="USH48" s="159"/>
      <c r="USI48" s="159"/>
      <c r="USJ48" s="159"/>
      <c r="USK48" s="159"/>
      <c r="USL48" s="159"/>
      <c r="USM48" s="159"/>
      <c r="USN48" s="159"/>
      <c r="USO48" s="159"/>
      <c r="USP48" s="159"/>
      <c r="USQ48" s="159"/>
      <c r="USR48" s="159"/>
      <c r="USS48" s="159"/>
      <c r="UST48" s="159"/>
      <c r="USU48" s="159"/>
      <c r="USV48" s="159"/>
      <c r="USW48" s="159"/>
      <c r="USX48" s="159"/>
      <c r="USY48" s="159"/>
      <c r="USZ48" s="159"/>
      <c r="UTA48" s="159"/>
      <c r="UTB48" s="159"/>
      <c r="UTC48" s="159"/>
      <c r="UTD48" s="159"/>
      <c r="UTE48" s="159"/>
      <c r="UTF48" s="159"/>
      <c r="UTG48" s="159"/>
      <c r="UTH48" s="159"/>
      <c r="UTI48" s="159"/>
      <c r="UTJ48" s="159"/>
      <c r="UTK48" s="159"/>
      <c r="UTL48" s="159"/>
      <c r="UTM48" s="159"/>
      <c r="UTN48" s="159"/>
      <c r="UTO48" s="159"/>
      <c r="UTP48" s="159"/>
      <c r="UTQ48" s="159"/>
      <c r="UTR48" s="159"/>
      <c r="UTS48" s="159"/>
      <c r="UTT48" s="159"/>
      <c r="UTU48" s="159"/>
      <c r="UTV48" s="159"/>
      <c r="UTW48" s="159"/>
      <c r="UTX48" s="159"/>
      <c r="UTY48" s="159"/>
      <c r="UTZ48" s="159"/>
      <c r="UUA48" s="159"/>
      <c r="UUB48" s="159"/>
      <c r="UUC48" s="159"/>
      <c r="UUD48" s="159"/>
      <c r="UUE48" s="159"/>
      <c r="UUF48" s="159"/>
      <c r="UUG48" s="159"/>
      <c r="UUH48" s="159"/>
      <c r="UUI48" s="159"/>
      <c r="UUJ48" s="159"/>
      <c r="UUK48" s="159"/>
      <c r="UUL48" s="159"/>
      <c r="UUM48" s="159"/>
      <c r="UUN48" s="159"/>
      <c r="UUO48" s="159"/>
      <c r="UUP48" s="159"/>
      <c r="UUQ48" s="159"/>
      <c r="UUR48" s="159"/>
      <c r="UUS48" s="159"/>
      <c r="UUT48" s="159"/>
      <c r="UUU48" s="159"/>
      <c r="UUV48" s="159"/>
      <c r="UUW48" s="159"/>
      <c r="UUX48" s="159"/>
      <c r="UUY48" s="159"/>
      <c r="UUZ48" s="159"/>
      <c r="UVA48" s="159"/>
      <c r="UVB48" s="159"/>
      <c r="UVC48" s="159"/>
      <c r="UVD48" s="159"/>
      <c r="UVE48" s="159"/>
      <c r="UVF48" s="159"/>
      <c r="UVG48" s="159"/>
      <c r="UVH48" s="159"/>
      <c r="UVI48" s="159"/>
      <c r="UVJ48" s="159"/>
      <c r="UVK48" s="159"/>
      <c r="UVL48" s="159"/>
      <c r="UVM48" s="159"/>
      <c r="UVN48" s="159"/>
      <c r="UVO48" s="159"/>
      <c r="UVP48" s="159"/>
      <c r="UVQ48" s="159"/>
      <c r="UVR48" s="159"/>
      <c r="UVS48" s="159"/>
      <c r="UVT48" s="159"/>
      <c r="UVU48" s="159"/>
      <c r="UVV48" s="159"/>
      <c r="UVW48" s="159"/>
      <c r="UVX48" s="159"/>
      <c r="UVY48" s="159"/>
      <c r="UVZ48" s="159"/>
      <c r="UWA48" s="159"/>
      <c r="UWB48" s="159"/>
      <c r="UWC48" s="159"/>
      <c r="UWD48" s="159"/>
      <c r="UWE48" s="159"/>
      <c r="UWF48" s="159"/>
      <c r="UWG48" s="159"/>
      <c r="UWH48" s="159"/>
      <c r="UWI48" s="159"/>
      <c r="UWJ48" s="159"/>
      <c r="UWK48" s="159"/>
      <c r="UWL48" s="159"/>
      <c r="UWM48" s="159"/>
      <c r="UWN48" s="159"/>
      <c r="UWO48" s="159"/>
      <c r="UWP48" s="159"/>
      <c r="UWQ48" s="159"/>
      <c r="UWR48" s="159"/>
      <c r="UWS48" s="159"/>
      <c r="UWT48" s="159"/>
      <c r="UWU48" s="159"/>
      <c r="UWV48" s="159"/>
      <c r="UWW48" s="159"/>
      <c r="UWX48" s="159"/>
      <c r="UWY48" s="159"/>
      <c r="UWZ48" s="159"/>
      <c r="UXA48" s="159"/>
      <c r="UXB48" s="159"/>
      <c r="UXC48" s="159"/>
      <c r="UXD48" s="159"/>
      <c r="UXE48" s="159"/>
      <c r="UXF48" s="159"/>
      <c r="UXG48" s="159"/>
      <c r="UXH48" s="159"/>
      <c r="UXI48" s="159"/>
      <c r="UXJ48" s="159"/>
      <c r="UXK48" s="159"/>
      <c r="UXL48" s="159"/>
      <c r="UXM48" s="159"/>
      <c r="UXN48" s="159"/>
      <c r="UXO48" s="159"/>
      <c r="UXP48" s="159"/>
      <c r="UXQ48" s="159"/>
      <c r="UXR48" s="159"/>
      <c r="UXS48" s="159"/>
      <c r="UXT48" s="159"/>
      <c r="UXU48" s="159"/>
      <c r="UXV48" s="159"/>
      <c r="UXW48" s="159"/>
      <c r="UXX48" s="159"/>
      <c r="UXY48" s="159"/>
      <c r="UXZ48" s="159"/>
      <c r="UYA48" s="159"/>
      <c r="UYB48" s="159"/>
      <c r="UYC48" s="159"/>
      <c r="UYD48" s="159"/>
      <c r="UYE48" s="159"/>
      <c r="UYF48" s="159"/>
      <c r="UYG48" s="159"/>
      <c r="UYH48" s="159"/>
      <c r="UYI48" s="159"/>
      <c r="UYJ48" s="159"/>
      <c r="UYK48" s="159"/>
      <c r="UYL48" s="159"/>
      <c r="UYM48" s="159"/>
      <c r="UYN48" s="159"/>
      <c r="UYO48" s="159"/>
      <c r="UYP48" s="159"/>
      <c r="UYQ48" s="159"/>
      <c r="UYR48" s="159"/>
      <c r="UYS48" s="159"/>
      <c r="UYT48" s="159"/>
      <c r="UYU48" s="159"/>
      <c r="UYV48" s="159"/>
      <c r="UYW48" s="159"/>
      <c r="UYX48" s="159"/>
      <c r="UYY48" s="159"/>
      <c r="UYZ48" s="159"/>
      <c r="UZA48" s="159"/>
      <c r="UZB48" s="159"/>
      <c r="UZC48" s="159"/>
      <c r="UZD48" s="159"/>
      <c r="UZE48" s="159"/>
      <c r="UZF48" s="159"/>
      <c r="UZG48" s="159"/>
      <c r="UZH48" s="159"/>
      <c r="UZI48" s="159"/>
      <c r="UZJ48" s="159"/>
      <c r="UZK48" s="159"/>
      <c r="UZL48" s="159"/>
      <c r="UZM48" s="159"/>
      <c r="UZN48" s="159"/>
      <c r="UZO48" s="159"/>
      <c r="UZP48" s="159"/>
      <c r="UZQ48" s="159"/>
      <c r="UZR48" s="159"/>
      <c r="UZS48" s="159"/>
      <c r="UZT48" s="159"/>
      <c r="UZU48" s="159"/>
      <c r="UZV48" s="159"/>
      <c r="UZW48" s="159"/>
      <c r="UZX48" s="159"/>
      <c r="UZY48" s="159"/>
      <c r="UZZ48" s="159"/>
      <c r="VAA48" s="159"/>
      <c r="VAB48" s="159"/>
      <c r="VAC48" s="159"/>
      <c r="VAD48" s="159"/>
      <c r="VAE48" s="159"/>
      <c r="VAF48" s="159"/>
      <c r="VAG48" s="159"/>
      <c r="VAH48" s="159"/>
      <c r="VAI48" s="159"/>
      <c r="VAJ48" s="159"/>
      <c r="VAK48" s="159"/>
      <c r="VAL48" s="159"/>
      <c r="VAM48" s="159"/>
      <c r="VAN48" s="159"/>
      <c r="VAO48" s="159"/>
      <c r="VAP48" s="159"/>
      <c r="VAQ48" s="159"/>
      <c r="VAR48" s="159"/>
      <c r="VAS48" s="159"/>
      <c r="VAT48" s="159"/>
      <c r="VAU48" s="159"/>
      <c r="VAV48" s="159"/>
      <c r="VAW48" s="159"/>
      <c r="VAX48" s="159"/>
      <c r="VAY48" s="159"/>
      <c r="VAZ48" s="159"/>
      <c r="VBA48" s="159"/>
      <c r="VBB48" s="159"/>
      <c r="VBC48" s="159"/>
      <c r="VBD48" s="159"/>
      <c r="VBE48" s="159"/>
      <c r="VBF48" s="159"/>
      <c r="VBG48" s="159"/>
      <c r="VBH48" s="159"/>
      <c r="VBI48" s="159"/>
      <c r="VBJ48" s="159"/>
      <c r="VBK48" s="159"/>
      <c r="VBL48" s="159"/>
      <c r="VBM48" s="159"/>
      <c r="VBN48" s="159"/>
      <c r="VBO48" s="159"/>
      <c r="VBP48" s="159"/>
      <c r="VBQ48" s="159"/>
      <c r="VBR48" s="159"/>
      <c r="VBS48" s="159"/>
      <c r="VBT48" s="159"/>
      <c r="VBU48" s="159"/>
      <c r="VBV48" s="159"/>
      <c r="VBW48" s="159"/>
      <c r="VBX48" s="159"/>
      <c r="VBY48" s="159"/>
      <c r="VBZ48" s="159"/>
      <c r="VCA48" s="159"/>
      <c r="VCB48" s="159"/>
      <c r="VCC48" s="159"/>
      <c r="VCD48" s="159"/>
      <c r="VCE48" s="159"/>
      <c r="VCF48" s="159"/>
      <c r="VCG48" s="159"/>
      <c r="VCH48" s="159"/>
      <c r="VCI48" s="159"/>
      <c r="VCJ48" s="159"/>
      <c r="VCK48" s="159"/>
      <c r="VCL48" s="159"/>
      <c r="VCM48" s="159"/>
      <c r="VCN48" s="159"/>
      <c r="VCO48" s="159"/>
      <c r="VCP48" s="159"/>
      <c r="VCQ48" s="159"/>
      <c r="VCR48" s="159"/>
      <c r="VCS48" s="159"/>
      <c r="VCT48" s="159"/>
      <c r="VCU48" s="159"/>
      <c r="VCV48" s="159"/>
      <c r="VCW48" s="159"/>
      <c r="VCX48" s="159"/>
      <c r="VCY48" s="159"/>
      <c r="VCZ48" s="159"/>
      <c r="VDA48" s="159"/>
      <c r="VDB48" s="159"/>
      <c r="VDC48" s="159"/>
      <c r="VDD48" s="159"/>
      <c r="VDE48" s="159"/>
      <c r="VDF48" s="159"/>
      <c r="VDG48" s="159"/>
      <c r="VDH48" s="159"/>
      <c r="VDI48" s="159"/>
      <c r="VDJ48" s="159"/>
      <c r="VDK48" s="159"/>
      <c r="VDL48" s="159"/>
      <c r="VDM48" s="159"/>
      <c r="VDN48" s="159"/>
      <c r="VDO48" s="159"/>
      <c r="VDP48" s="159"/>
      <c r="VDQ48" s="159"/>
      <c r="VDR48" s="159"/>
      <c r="VDS48" s="159"/>
      <c r="VDT48" s="159"/>
      <c r="VDU48" s="159"/>
      <c r="VDV48" s="159"/>
      <c r="VDW48" s="159"/>
      <c r="VDX48" s="159"/>
      <c r="VDY48" s="159"/>
      <c r="VDZ48" s="159"/>
      <c r="VEA48" s="159"/>
      <c r="VEB48" s="159"/>
      <c r="VEC48" s="159"/>
      <c r="VED48" s="159"/>
      <c r="VEE48" s="159"/>
      <c r="VEF48" s="159"/>
      <c r="VEG48" s="159"/>
      <c r="VEH48" s="159"/>
      <c r="VEI48" s="159"/>
      <c r="VEJ48" s="159"/>
      <c r="VEK48" s="159"/>
      <c r="VEL48" s="159"/>
      <c r="VEM48" s="159"/>
      <c r="VEN48" s="159"/>
      <c r="VEO48" s="159"/>
      <c r="VEP48" s="159"/>
      <c r="VEQ48" s="159"/>
      <c r="VER48" s="159"/>
      <c r="VES48" s="159"/>
      <c r="VET48" s="159"/>
      <c r="VEU48" s="159"/>
      <c r="VEV48" s="159"/>
      <c r="VEW48" s="159"/>
      <c r="VEX48" s="159"/>
      <c r="VEY48" s="159"/>
      <c r="VEZ48" s="159"/>
      <c r="VFA48" s="159"/>
      <c r="VFB48" s="159"/>
      <c r="VFC48" s="159"/>
      <c r="VFD48" s="159"/>
      <c r="VFE48" s="159"/>
      <c r="VFF48" s="159"/>
      <c r="VFG48" s="159"/>
      <c r="VFH48" s="159"/>
      <c r="VFI48" s="159"/>
      <c r="VFJ48" s="159"/>
      <c r="VFK48" s="159"/>
      <c r="VFL48" s="159"/>
      <c r="VFM48" s="159"/>
      <c r="VFN48" s="159"/>
      <c r="VFO48" s="159"/>
      <c r="VFP48" s="159"/>
      <c r="VFQ48" s="159"/>
      <c r="VFR48" s="159"/>
      <c r="VFS48" s="159"/>
      <c r="VFT48" s="159"/>
      <c r="VFU48" s="159"/>
      <c r="VFV48" s="159"/>
      <c r="VFW48" s="159"/>
      <c r="VFX48" s="159"/>
      <c r="VFY48" s="159"/>
      <c r="VFZ48" s="159"/>
      <c r="VGA48" s="159"/>
      <c r="VGB48" s="159"/>
      <c r="VGC48" s="159"/>
      <c r="VGD48" s="159"/>
      <c r="VGE48" s="159"/>
      <c r="VGF48" s="159"/>
      <c r="VGG48" s="159"/>
      <c r="VGH48" s="159"/>
      <c r="VGI48" s="159"/>
      <c r="VGJ48" s="159"/>
      <c r="VGK48" s="159"/>
      <c r="VGL48" s="159"/>
      <c r="VGM48" s="159"/>
      <c r="VGN48" s="159"/>
      <c r="VGO48" s="159"/>
      <c r="VGP48" s="159"/>
      <c r="VGQ48" s="159"/>
      <c r="VGR48" s="159"/>
      <c r="VGS48" s="159"/>
      <c r="VGT48" s="159"/>
      <c r="VGU48" s="159"/>
      <c r="VGV48" s="159"/>
      <c r="VGW48" s="159"/>
      <c r="VGX48" s="159"/>
      <c r="VGY48" s="159"/>
      <c r="VGZ48" s="159"/>
      <c r="VHA48" s="159"/>
      <c r="VHB48" s="159"/>
      <c r="VHC48" s="159"/>
      <c r="VHD48" s="159"/>
      <c r="VHE48" s="159"/>
      <c r="VHF48" s="159"/>
      <c r="VHG48" s="159"/>
      <c r="VHH48" s="159"/>
      <c r="VHI48" s="159"/>
      <c r="VHJ48" s="159"/>
      <c r="VHK48" s="159"/>
      <c r="VHL48" s="159"/>
      <c r="VHM48" s="159"/>
      <c r="VHN48" s="159"/>
      <c r="VHO48" s="159"/>
      <c r="VHP48" s="159"/>
      <c r="VHQ48" s="159"/>
      <c r="VHR48" s="159"/>
      <c r="VHS48" s="159"/>
      <c r="VHT48" s="159"/>
      <c r="VHU48" s="159"/>
      <c r="VHV48" s="159"/>
      <c r="VHW48" s="159"/>
      <c r="VHX48" s="159"/>
      <c r="VHY48" s="159"/>
      <c r="VHZ48" s="159"/>
      <c r="VIA48" s="159"/>
      <c r="VIB48" s="159"/>
      <c r="VIC48" s="159"/>
      <c r="VID48" s="159"/>
      <c r="VIE48" s="159"/>
      <c r="VIF48" s="159"/>
      <c r="VIG48" s="159"/>
      <c r="VIH48" s="159"/>
      <c r="VII48" s="159"/>
      <c r="VIJ48" s="159"/>
      <c r="VIK48" s="159"/>
      <c r="VIL48" s="159"/>
      <c r="VIM48" s="159"/>
      <c r="VIN48" s="159"/>
      <c r="VIO48" s="159"/>
      <c r="VIP48" s="159"/>
      <c r="VIQ48" s="159"/>
      <c r="VIR48" s="159"/>
      <c r="VIS48" s="159"/>
      <c r="VIT48" s="159"/>
      <c r="VIU48" s="159"/>
      <c r="VIV48" s="159"/>
      <c r="VIW48" s="159"/>
      <c r="VIX48" s="159"/>
      <c r="VIY48" s="159"/>
      <c r="VIZ48" s="159"/>
      <c r="VJA48" s="159"/>
      <c r="VJB48" s="159"/>
      <c r="VJC48" s="159"/>
      <c r="VJD48" s="159"/>
      <c r="VJE48" s="159"/>
      <c r="VJF48" s="159"/>
      <c r="VJG48" s="159"/>
      <c r="VJH48" s="159"/>
      <c r="VJI48" s="159"/>
      <c r="VJJ48" s="159"/>
      <c r="VJK48" s="159"/>
      <c r="VJL48" s="159"/>
      <c r="VJM48" s="159"/>
      <c r="VJN48" s="159"/>
      <c r="VJO48" s="159"/>
      <c r="VJP48" s="159"/>
      <c r="VJQ48" s="159"/>
      <c r="VJR48" s="159"/>
      <c r="VJS48" s="159"/>
      <c r="VJT48" s="159"/>
      <c r="VJU48" s="159"/>
      <c r="VJV48" s="159"/>
      <c r="VJW48" s="159"/>
      <c r="VJX48" s="159"/>
      <c r="VJY48" s="159"/>
      <c r="VJZ48" s="159"/>
      <c r="VKA48" s="159"/>
      <c r="VKB48" s="159"/>
      <c r="VKC48" s="159"/>
      <c r="VKD48" s="159"/>
      <c r="VKE48" s="159"/>
      <c r="VKF48" s="159"/>
      <c r="VKG48" s="159"/>
      <c r="VKH48" s="159"/>
      <c r="VKI48" s="159"/>
      <c r="VKJ48" s="159"/>
      <c r="VKK48" s="159"/>
      <c r="VKL48" s="159"/>
      <c r="VKM48" s="159"/>
      <c r="VKN48" s="159"/>
      <c r="VKO48" s="159"/>
      <c r="VKP48" s="159"/>
      <c r="VKQ48" s="159"/>
      <c r="VKR48" s="159"/>
      <c r="VKS48" s="159"/>
      <c r="VKT48" s="159"/>
      <c r="VKU48" s="159"/>
      <c r="VKV48" s="159"/>
      <c r="VKW48" s="159"/>
      <c r="VKX48" s="159"/>
      <c r="VKY48" s="159"/>
      <c r="VKZ48" s="159"/>
      <c r="VLA48" s="159"/>
      <c r="VLB48" s="159"/>
      <c r="VLC48" s="159"/>
      <c r="VLD48" s="159"/>
      <c r="VLE48" s="159"/>
      <c r="VLF48" s="159"/>
      <c r="VLG48" s="159"/>
      <c r="VLH48" s="159"/>
      <c r="VLI48" s="159"/>
      <c r="VLJ48" s="159"/>
      <c r="VLK48" s="159"/>
      <c r="VLL48" s="159"/>
      <c r="VLM48" s="159"/>
      <c r="VLN48" s="159"/>
      <c r="VLO48" s="159"/>
      <c r="VLP48" s="159"/>
      <c r="VLQ48" s="159"/>
      <c r="VLR48" s="159"/>
      <c r="VLS48" s="159"/>
      <c r="VLT48" s="159"/>
      <c r="VLU48" s="159"/>
      <c r="VLV48" s="159"/>
      <c r="VLW48" s="159"/>
      <c r="VLX48" s="159"/>
      <c r="VLY48" s="159"/>
      <c r="VLZ48" s="159"/>
      <c r="VMA48" s="159"/>
      <c r="VMB48" s="159"/>
      <c r="VMC48" s="159"/>
      <c r="VMD48" s="159"/>
      <c r="VME48" s="159"/>
      <c r="VMF48" s="159"/>
      <c r="VMG48" s="159"/>
      <c r="VMH48" s="159"/>
      <c r="VMI48" s="159"/>
      <c r="VMJ48" s="159"/>
      <c r="VMK48" s="159"/>
      <c r="VML48" s="159"/>
      <c r="VMM48" s="159"/>
      <c r="VMN48" s="159"/>
      <c r="VMO48" s="159"/>
      <c r="VMP48" s="159"/>
      <c r="VMQ48" s="159"/>
      <c r="VMR48" s="159"/>
      <c r="VMS48" s="159"/>
      <c r="VMT48" s="159"/>
      <c r="VMU48" s="159"/>
      <c r="VMV48" s="159"/>
      <c r="VMW48" s="159"/>
      <c r="VMX48" s="159"/>
      <c r="VMY48" s="159"/>
      <c r="VMZ48" s="159"/>
      <c r="VNA48" s="159"/>
      <c r="VNB48" s="159"/>
      <c r="VNC48" s="159"/>
      <c r="VND48" s="159"/>
      <c r="VNE48" s="159"/>
      <c r="VNF48" s="159"/>
      <c r="VNG48" s="159"/>
      <c r="VNH48" s="159"/>
      <c r="VNI48" s="159"/>
      <c r="VNJ48" s="159"/>
      <c r="VNK48" s="159"/>
      <c r="VNL48" s="159"/>
      <c r="VNM48" s="159"/>
      <c r="VNN48" s="159"/>
      <c r="VNO48" s="159"/>
      <c r="VNP48" s="159"/>
      <c r="VNQ48" s="159"/>
      <c r="VNR48" s="159"/>
      <c r="VNS48" s="159"/>
      <c r="VNT48" s="159"/>
      <c r="VNU48" s="159"/>
      <c r="VNV48" s="159"/>
      <c r="VNW48" s="159"/>
      <c r="VNX48" s="159"/>
      <c r="VNY48" s="159"/>
      <c r="VNZ48" s="159"/>
      <c r="VOA48" s="159"/>
      <c r="VOB48" s="159"/>
      <c r="VOC48" s="159"/>
      <c r="VOD48" s="159"/>
      <c r="VOE48" s="159"/>
      <c r="VOF48" s="159"/>
      <c r="VOG48" s="159"/>
      <c r="VOH48" s="159"/>
      <c r="VOI48" s="159"/>
      <c r="VOJ48" s="159"/>
      <c r="VOK48" s="159"/>
      <c r="VOL48" s="159"/>
      <c r="VOM48" s="159"/>
      <c r="VON48" s="159"/>
      <c r="VOO48" s="159"/>
      <c r="VOP48" s="159"/>
      <c r="VOQ48" s="159"/>
      <c r="VOR48" s="159"/>
      <c r="VOS48" s="159"/>
      <c r="VOT48" s="159"/>
      <c r="VOU48" s="159"/>
      <c r="VOV48" s="159"/>
      <c r="VOW48" s="159"/>
      <c r="VOX48" s="159"/>
      <c r="VOY48" s="159"/>
      <c r="VOZ48" s="159"/>
      <c r="VPA48" s="159"/>
      <c r="VPB48" s="159"/>
      <c r="VPC48" s="159"/>
      <c r="VPD48" s="159"/>
      <c r="VPE48" s="159"/>
      <c r="VPF48" s="159"/>
      <c r="VPG48" s="159"/>
      <c r="VPH48" s="159"/>
      <c r="VPI48" s="159"/>
      <c r="VPJ48" s="159"/>
      <c r="VPK48" s="159"/>
      <c r="VPL48" s="159"/>
      <c r="VPM48" s="159"/>
      <c r="VPN48" s="159"/>
      <c r="VPO48" s="159"/>
      <c r="VPP48" s="159"/>
      <c r="VPQ48" s="159"/>
      <c r="VPR48" s="159"/>
      <c r="VPS48" s="159"/>
      <c r="VPT48" s="159"/>
      <c r="VPU48" s="159"/>
      <c r="VPV48" s="159"/>
      <c r="VPW48" s="159"/>
      <c r="VPX48" s="159"/>
      <c r="VPY48" s="159"/>
      <c r="VPZ48" s="159"/>
      <c r="VQA48" s="159"/>
      <c r="VQB48" s="159"/>
      <c r="VQC48" s="159"/>
      <c r="VQD48" s="159"/>
      <c r="VQE48" s="159"/>
      <c r="VQF48" s="159"/>
      <c r="VQG48" s="159"/>
      <c r="VQH48" s="159"/>
      <c r="VQI48" s="159"/>
      <c r="VQJ48" s="159"/>
      <c r="VQK48" s="159"/>
      <c r="VQL48" s="159"/>
      <c r="VQM48" s="159"/>
      <c r="VQN48" s="159"/>
      <c r="VQO48" s="159"/>
      <c r="VQP48" s="159"/>
      <c r="VQQ48" s="159"/>
      <c r="VQR48" s="159"/>
      <c r="VQS48" s="159"/>
      <c r="VQT48" s="159"/>
      <c r="VQU48" s="159"/>
      <c r="VQV48" s="159"/>
      <c r="VQW48" s="159"/>
      <c r="VQX48" s="159"/>
      <c r="VQY48" s="159"/>
      <c r="VQZ48" s="159"/>
      <c r="VRA48" s="159"/>
      <c r="VRB48" s="159"/>
      <c r="VRC48" s="159"/>
      <c r="VRD48" s="159"/>
      <c r="VRE48" s="159"/>
      <c r="VRF48" s="159"/>
      <c r="VRG48" s="159"/>
      <c r="VRH48" s="159"/>
      <c r="VRI48" s="159"/>
      <c r="VRJ48" s="159"/>
      <c r="VRK48" s="159"/>
      <c r="VRL48" s="159"/>
      <c r="VRM48" s="159"/>
      <c r="VRN48" s="159"/>
      <c r="VRO48" s="159"/>
      <c r="VRP48" s="159"/>
      <c r="VRQ48" s="159"/>
      <c r="VRR48" s="159"/>
      <c r="VRS48" s="159"/>
      <c r="VRT48" s="159"/>
      <c r="VRU48" s="159"/>
      <c r="VRV48" s="159"/>
      <c r="VRW48" s="159"/>
      <c r="VRX48" s="159"/>
      <c r="VRY48" s="159"/>
      <c r="VRZ48" s="159"/>
      <c r="VSA48" s="159"/>
      <c r="VSB48" s="159"/>
      <c r="VSC48" s="159"/>
      <c r="VSD48" s="159"/>
      <c r="VSE48" s="159"/>
      <c r="VSF48" s="159"/>
      <c r="VSG48" s="159"/>
      <c r="VSH48" s="159"/>
      <c r="VSI48" s="159"/>
      <c r="VSJ48" s="159"/>
      <c r="VSK48" s="159"/>
      <c r="VSL48" s="159"/>
      <c r="VSM48" s="159"/>
      <c r="VSN48" s="159"/>
      <c r="VSO48" s="159"/>
      <c r="VSP48" s="159"/>
      <c r="VSQ48" s="159"/>
      <c r="VSR48" s="159"/>
      <c r="VSS48" s="159"/>
      <c r="VST48" s="159"/>
      <c r="VSU48" s="159"/>
      <c r="VSV48" s="159"/>
      <c r="VSW48" s="159"/>
      <c r="VSX48" s="159"/>
      <c r="VSY48" s="159"/>
      <c r="VSZ48" s="159"/>
      <c r="VTA48" s="159"/>
      <c r="VTB48" s="159"/>
      <c r="VTC48" s="159"/>
      <c r="VTD48" s="159"/>
      <c r="VTE48" s="159"/>
      <c r="VTF48" s="159"/>
      <c r="VTG48" s="159"/>
      <c r="VTH48" s="159"/>
      <c r="VTI48" s="159"/>
      <c r="VTJ48" s="159"/>
      <c r="VTK48" s="159"/>
      <c r="VTL48" s="159"/>
      <c r="VTM48" s="159"/>
      <c r="VTN48" s="159"/>
      <c r="VTO48" s="159"/>
      <c r="VTP48" s="159"/>
      <c r="VTQ48" s="159"/>
      <c r="VTR48" s="159"/>
      <c r="VTS48" s="159"/>
      <c r="VTT48" s="159"/>
      <c r="VTU48" s="159"/>
      <c r="VTV48" s="159"/>
      <c r="VTW48" s="159"/>
      <c r="VTX48" s="159"/>
      <c r="VTY48" s="159"/>
      <c r="VTZ48" s="159"/>
      <c r="VUA48" s="159"/>
      <c r="VUB48" s="159"/>
      <c r="VUC48" s="159"/>
      <c r="VUD48" s="159"/>
      <c r="VUE48" s="159"/>
      <c r="VUF48" s="159"/>
      <c r="VUG48" s="159"/>
      <c r="VUH48" s="159"/>
      <c r="VUI48" s="159"/>
      <c r="VUJ48" s="159"/>
      <c r="VUK48" s="159"/>
      <c r="VUL48" s="159"/>
      <c r="VUM48" s="159"/>
      <c r="VUN48" s="159"/>
      <c r="VUO48" s="159"/>
      <c r="VUP48" s="159"/>
      <c r="VUQ48" s="159"/>
      <c r="VUR48" s="159"/>
      <c r="VUS48" s="159"/>
      <c r="VUT48" s="159"/>
      <c r="VUU48" s="159"/>
      <c r="VUV48" s="159"/>
      <c r="VUW48" s="159"/>
      <c r="VUX48" s="159"/>
      <c r="VUY48" s="159"/>
      <c r="VUZ48" s="159"/>
      <c r="VVA48" s="159"/>
      <c r="VVB48" s="159"/>
      <c r="VVC48" s="159"/>
      <c r="VVD48" s="159"/>
      <c r="VVE48" s="159"/>
      <c r="VVF48" s="159"/>
      <c r="VVG48" s="159"/>
      <c r="VVH48" s="159"/>
      <c r="VVI48" s="159"/>
      <c r="VVJ48" s="159"/>
      <c r="VVK48" s="159"/>
      <c r="VVL48" s="159"/>
      <c r="VVM48" s="159"/>
      <c r="VVN48" s="159"/>
      <c r="VVO48" s="159"/>
      <c r="VVP48" s="159"/>
      <c r="VVQ48" s="159"/>
      <c r="VVR48" s="159"/>
      <c r="VVS48" s="159"/>
      <c r="VVT48" s="159"/>
      <c r="VVU48" s="159"/>
      <c r="VVV48" s="159"/>
      <c r="VVW48" s="159"/>
      <c r="VVX48" s="159"/>
      <c r="VVY48" s="159"/>
      <c r="VVZ48" s="159"/>
      <c r="VWA48" s="159"/>
      <c r="VWB48" s="159"/>
      <c r="VWC48" s="159"/>
      <c r="VWD48" s="159"/>
      <c r="VWE48" s="159"/>
      <c r="VWF48" s="159"/>
      <c r="VWG48" s="159"/>
      <c r="VWH48" s="159"/>
      <c r="VWI48" s="159"/>
      <c r="VWJ48" s="159"/>
      <c r="VWK48" s="159"/>
      <c r="VWL48" s="159"/>
      <c r="VWM48" s="159"/>
      <c r="VWN48" s="159"/>
      <c r="VWO48" s="159"/>
      <c r="VWP48" s="159"/>
      <c r="VWQ48" s="159"/>
      <c r="VWR48" s="159"/>
      <c r="VWS48" s="159"/>
      <c r="VWT48" s="159"/>
      <c r="VWU48" s="159"/>
      <c r="VWV48" s="159"/>
      <c r="VWW48" s="159"/>
      <c r="VWX48" s="159"/>
      <c r="VWY48" s="159"/>
      <c r="VWZ48" s="159"/>
      <c r="VXA48" s="159"/>
      <c r="VXB48" s="159"/>
      <c r="VXC48" s="159"/>
      <c r="VXD48" s="159"/>
      <c r="VXE48" s="159"/>
      <c r="VXF48" s="159"/>
      <c r="VXG48" s="159"/>
      <c r="VXH48" s="159"/>
      <c r="VXI48" s="159"/>
      <c r="VXJ48" s="159"/>
      <c r="VXK48" s="159"/>
      <c r="VXL48" s="159"/>
      <c r="VXM48" s="159"/>
      <c r="VXN48" s="159"/>
      <c r="VXO48" s="159"/>
      <c r="VXP48" s="159"/>
      <c r="VXQ48" s="159"/>
      <c r="VXR48" s="159"/>
      <c r="VXS48" s="159"/>
      <c r="VXT48" s="159"/>
      <c r="VXU48" s="159"/>
      <c r="VXV48" s="159"/>
      <c r="VXW48" s="159"/>
      <c r="VXX48" s="159"/>
      <c r="VXY48" s="159"/>
      <c r="VXZ48" s="159"/>
      <c r="VYA48" s="159"/>
      <c r="VYB48" s="159"/>
      <c r="VYC48" s="159"/>
      <c r="VYD48" s="159"/>
      <c r="VYE48" s="159"/>
      <c r="VYF48" s="159"/>
      <c r="VYG48" s="159"/>
      <c r="VYH48" s="159"/>
      <c r="VYI48" s="159"/>
      <c r="VYJ48" s="159"/>
      <c r="VYK48" s="159"/>
      <c r="VYL48" s="159"/>
      <c r="VYM48" s="159"/>
      <c r="VYN48" s="159"/>
      <c r="VYO48" s="159"/>
      <c r="VYP48" s="159"/>
      <c r="VYQ48" s="159"/>
      <c r="VYR48" s="159"/>
      <c r="VYS48" s="159"/>
      <c r="VYT48" s="159"/>
      <c r="VYU48" s="159"/>
      <c r="VYV48" s="159"/>
      <c r="VYW48" s="159"/>
      <c r="VYX48" s="159"/>
      <c r="VYY48" s="159"/>
      <c r="VYZ48" s="159"/>
      <c r="VZA48" s="159"/>
      <c r="VZB48" s="159"/>
      <c r="VZC48" s="159"/>
      <c r="VZD48" s="159"/>
      <c r="VZE48" s="159"/>
      <c r="VZF48" s="159"/>
      <c r="VZG48" s="159"/>
      <c r="VZH48" s="159"/>
      <c r="VZI48" s="159"/>
      <c r="VZJ48" s="159"/>
      <c r="VZK48" s="159"/>
      <c r="VZL48" s="159"/>
      <c r="VZM48" s="159"/>
      <c r="VZN48" s="159"/>
      <c r="VZO48" s="159"/>
      <c r="VZP48" s="159"/>
      <c r="VZQ48" s="159"/>
      <c r="VZR48" s="159"/>
      <c r="VZS48" s="159"/>
      <c r="VZT48" s="159"/>
      <c r="VZU48" s="159"/>
      <c r="VZV48" s="159"/>
      <c r="VZW48" s="159"/>
      <c r="VZX48" s="159"/>
      <c r="VZY48" s="159"/>
      <c r="VZZ48" s="159"/>
      <c r="WAA48" s="159"/>
      <c r="WAB48" s="159"/>
      <c r="WAC48" s="159"/>
      <c r="WAD48" s="159"/>
      <c r="WAE48" s="159"/>
      <c r="WAF48" s="159"/>
      <c r="WAG48" s="159"/>
      <c r="WAH48" s="159"/>
      <c r="WAI48" s="159"/>
      <c r="WAJ48" s="159"/>
      <c r="WAK48" s="159"/>
      <c r="WAL48" s="159"/>
      <c r="WAM48" s="159"/>
      <c r="WAN48" s="159"/>
      <c r="WAO48" s="159"/>
      <c r="WAP48" s="159"/>
      <c r="WAQ48" s="159"/>
      <c r="WAR48" s="159"/>
      <c r="WAS48" s="159"/>
      <c r="WAT48" s="159"/>
      <c r="WAU48" s="159"/>
      <c r="WAV48" s="159"/>
      <c r="WAW48" s="159"/>
      <c r="WAX48" s="159"/>
      <c r="WAY48" s="159"/>
      <c r="WAZ48" s="159"/>
      <c r="WBA48" s="159"/>
      <c r="WBB48" s="159"/>
      <c r="WBC48" s="159"/>
      <c r="WBD48" s="159"/>
      <c r="WBE48" s="159"/>
      <c r="WBF48" s="159"/>
      <c r="WBG48" s="159"/>
      <c r="WBH48" s="159"/>
      <c r="WBI48" s="159"/>
      <c r="WBJ48" s="159"/>
      <c r="WBK48" s="159"/>
      <c r="WBL48" s="159"/>
      <c r="WBM48" s="159"/>
      <c r="WBN48" s="159"/>
      <c r="WBO48" s="159"/>
      <c r="WBP48" s="159"/>
      <c r="WBQ48" s="159"/>
      <c r="WBR48" s="159"/>
      <c r="WBS48" s="159"/>
      <c r="WBT48" s="159"/>
      <c r="WBU48" s="159"/>
      <c r="WBV48" s="159"/>
      <c r="WBW48" s="159"/>
      <c r="WBX48" s="159"/>
      <c r="WBY48" s="159"/>
      <c r="WBZ48" s="159"/>
      <c r="WCA48" s="159"/>
      <c r="WCB48" s="159"/>
      <c r="WCC48" s="159"/>
      <c r="WCD48" s="159"/>
      <c r="WCE48" s="159"/>
      <c r="WCF48" s="159"/>
      <c r="WCG48" s="159"/>
      <c r="WCH48" s="159"/>
      <c r="WCI48" s="159"/>
      <c r="WCJ48" s="159"/>
      <c r="WCK48" s="159"/>
      <c r="WCL48" s="159"/>
      <c r="WCM48" s="159"/>
      <c r="WCN48" s="159"/>
      <c r="WCO48" s="159"/>
      <c r="WCP48" s="159"/>
      <c r="WCQ48" s="159"/>
      <c r="WCR48" s="159"/>
      <c r="WCS48" s="159"/>
      <c r="WCT48" s="159"/>
      <c r="WCU48" s="159"/>
      <c r="WCV48" s="159"/>
      <c r="WCW48" s="159"/>
      <c r="WCX48" s="159"/>
      <c r="WCY48" s="159"/>
      <c r="WCZ48" s="159"/>
      <c r="WDA48" s="159"/>
      <c r="WDB48" s="159"/>
      <c r="WDC48" s="159"/>
      <c r="WDD48" s="159"/>
      <c r="WDE48" s="159"/>
      <c r="WDF48" s="159"/>
      <c r="WDG48" s="159"/>
      <c r="WDH48" s="159"/>
      <c r="WDI48" s="159"/>
      <c r="WDJ48" s="159"/>
      <c r="WDK48" s="159"/>
      <c r="WDL48" s="159"/>
      <c r="WDM48" s="159"/>
      <c r="WDN48" s="159"/>
      <c r="WDO48" s="159"/>
      <c r="WDP48" s="159"/>
      <c r="WDQ48" s="159"/>
      <c r="WDR48" s="159"/>
      <c r="WDS48" s="159"/>
      <c r="WDT48" s="159"/>
      <c r="WDU48" s="159"/>
      <c r="WDV48" s="159"/>
      <c r="WDW48" s="159"/>
      <c r="WDX48" s="159"/>
      <c r="WDY48" s="159"/>
      <c r="WDZ48" s="159"/>
      <c r="WEA48" s="159"/>
      <c r="WEB48" s="159"/>
      <c r="WEC48" s="159"/>
      <c r="WED48" s="159"/>
      <c r="WEE48" s="159"/>
      <c r="WEF48" s="159"/>
      <c r="WEG48" s="159"/>
      <c r="WEH48" s="159"/>
      <c r="WEI48" s="159"/>
      <c r="WEJ48" s="159"/>
      <c r="WEK48" s="159"/>
      <c r="WEL48" s="159"/>
      <c r="WEM48" s="159"/>
      <c r="WEN48" s="159"/>
      <c r="WEO48" s="159"/>
      <c r="WEP48" s="159"/>
      <c r="WEQ48" s="159"/>
      <c r="WER48" s="159"/>
      <c r="WES48" s="159"/>
      <c r="WET48" s="159"/>
      <c r="WEU48" s="159"/>
      <c r="WEV48" s="159"/>
      <c r="WEW48" s="159"/>
      <c r="WEX48" s="159"/>
      <c r="WEY48" s="159"/>
      <c r="WEZ48" s="159"/>
      <c r="WFA48" s="159"/>
      <c r="WFB48" s="159"/>
      <c r="WFC48" s="159"/>
      <c r="WFD48" s="159"/>
      <c r="WFE48" s="159"/>
      <c r="WFF48" s="159"/>
      <c r="WFG48" s="159"/>
      <c r="WFH48" s="159"/>
      <c r="WFI48" s="159"/>
      <c r="WFJ48" s="159"/>
      <c r="WFK48" s="159"/>
      <c r="WFL48" s="159"/>
      <c r="WFM48" s="159"/>
      <c r="WFN48" s="159"/>
      <c r="WFO48" s="159"/>
      <c r="WFP48" s="159"/>
      <c r="WFQ48" s="159"/>
      <c r="WFR48" s="159"/>
      <c r="WFS48" s="159"/>
      <c r="WFT48" s="159"/>
      <c r="WFU48" s="159"/>
      <c r="WFV48" s="159"/>
      <c r="WFW48" s="159"/>
      <c r="WFX48" s="159"/>
      <c r="WFY48" s="159"/>
      <c r="WFZ48" s="159"/>
      <c r="WGA48" s="159"/>
      <c r="WGB48" s="159"/>
      <c r="WGC48" s="159"/>
      <c r="WGD48" s="159"/>
      <c r="WGE48" s="159"/>
      <c r="WGF48" s="159"/>
      <c r="WGG48" s="159"/>
      <c r="WGH48" s="159"/>
      <c r="WGI48" s="159"/>
      <c r="WGJ48" s="159"/>
      <c r="WGK48" s="159"/>
      <c r="WGL48" s="159"/>
      <c r="WGM48" s="159"/>
      <c r="WGN48" s="159"/>
      <c r="WGO48" s="159"/>
      <c r="WGP48" s="159"/>
      <c r="WGQ48" s="159"/>
      <c r="WGR48" s="159"/>
      <c r="WGS48" s="159"/>
      <c r="WGT48" s="159"/>
      <c r="WGU48" s="159"/>
      <c r="WGV48" s="159"/>
      <c r="WGW48" s="159"/>
      <c r="WGX48" s="159"/>
      <c r="WGY48" s="159"/>
      <c r="WGZ48" s="159"/>
      <c r="WHA48" s="159"/>
      <c r="WHB48" s="159"/>
      <c r="WHC48" s="159"/>
      <c r="WHD48" s="159"/>
      <c r="WHE48" s="159"/>
      <c r="WHF48" s="159"/>
      <c r="WHG48" s="159"/>
      <c r="WHH48" s="159"/>
      <c r="WHI48" s="159"/>
      <c r="WHJ48" s="159"/>
      <c r="WHK48" s="159"/>
      <c r="WHL48" s="159"/>
      <c r="WHM48" s="159"/>
      <c r="WHN48" s="159"/>
      <c r="WHO48" s="159"/>
      <c r="WHP48" s="159"/>
      <c r="WHQ48" s="159"/>
      <c r="WHR48" s="159"/>
      <c r="WHS48" s="159"/>
      <c r="WHT48" s="159"/>
      <c r="WHU48" s="159"/>
      <c r="WHV48" s="159"/>
      <c r="WHW48" s="159"/>
      <c r="WHX48" s="159"/>
      <c r="WHY48" s="159"/>
      <c r="WHZ48" s="159"/>
      <c r="WIA48" s="159"/>
      <c r="WIB48" s="159"/>
      <c r="WIC48" s="159"/>
      <c r="WID48" s="159"/>
      <c r="WIE48" s="159"/>
      <c r="WIF48" s="159"/>
      <c r="WIG48" s="159"/>
      <c r="WIH48" s="159"/>
      <c r="WII48" s="159"/>
      <c r="WIJ48" s="159"/>
      <c r="WIK48" s="159"/>
      <c r="WIL48" s="159"/>
      <c r="WIM48" s="159"/>
      <c r="WIN48" s="159"/>
      <c r="WIO48" s="159"/>
      <c r="WIP48" s="159"/>
      <c r="WIQ48" s="159"/>
      <c r="WIR48" s="159"/>
      <c r="WIS48" s="159"/>
      <c r="WIT48" s="159"/>
      <c r="WIU48" s="159"/>
      <c r="WIV48" s="159"/>
      <c r="WIW48" s="159"/>
      <c r="WIX48" s="159"/>
      <c r="WIY48" s="159"/>
      <c r="WIZ48" s="159"/>
      <c r="WJA48" s="159"/>
      <c r="WJB48" s="159"/>
      <c r="WJC48" s="159"/>
      <c r="WJD48" s="159"/>
      <c r="WJE48" s="159"/>
      <c r="WJF48" s="159"/>
      <c r="WJG48" s="159"/>
      <c r="WJH48" s="159"/>
      <c r="WJI48" s="159"/>
      <c r="WJJ48" s="159"/>
      <c r="WJK48" s="159"/>
      <c r="WJL48" s="159"/>
      <c r="WJM48" s="159"/>
      <c r="WJN48" s="159"/>
      <c r="WJO48" s="159"/>
      <c r="WJP48" s="159"/>
      <c r="WJQ48" s="159"/>
      <c r="WJR48" s="159"/>
      <c r="WJS48" s="159"/>
      <c r="WJT48" s="159"/>
      <c r="WJU48" s="159"/>
      <c r="WJV48" s="159"/>
      <c r="WJW48" s="159"/>
      <c r="WJX48" s="159"/>
      <c r="WJY48" s="159"/>
      <c r="WJZ48" s="159"/>
      <c r="WKA48" s="159"/>
      <c r="WKB48" s="159"/>
      <c r="WKC48" s="159"/>
      <c r="WKD48" s="159"/>
      <c r="WKE48" s="159"/>
      <c r="WKF48" s="159"/>
      <c r="WKG48" s="159"/>
      <c r="WKH48" s="159"/>
      <c r="WKI48" s="159"/>
      <c r="WKJ48" s="159"/>
      <c r="WKK48" s="159"/>
      <c r="WKL48" s="159"/>
      <c r="WKM48" s="159"/>
      <c r="WKN48" s="159"/>
      <c r="WKO48" s="159"/>
      <c r="WKP48" s="159"/>
      <c r="WKQ48" s="159"/>
      <c r="WKR48" s="159"/>
      <c r="WKS48" s="159"/>
      <c r="WKT48" s="159"/>
      <c r="WKU48" s="159"/>
      <c r="WKV48" s="159"/>
      <c r="WKW48" s="159"/>
      <c r="WKX48" s="159"/>
      <c r="WKY48" s="159"/>
      <c r="WKZ48" s="159"/>
      <c r="WLA48" s="159"/>
      <c r="WLB48" s="159"/>
      <c r="WLC48" s="159"/>
      <c r="WLD48" s="159"/>
      <c r="WLE48" s="159"/>
      <c r="WLF48" s="159"/>
      <c r="WLG48" s="159"/>
      <c r="WLH48" s="159"/>
      <c r="WLI48" s="159"/>
      <c r="WLJ48" s="159"/>
      <c r="WLK48" s="159"/>
      <c r="WLL48" s="159"/>
      <c r="WLM48" s="159"/>
      <c r="WLN48" s="159"/>
      <c r="WLO48" s="159"/>
      <c r="WLP48" s="159"/>
      <c r="WLQ48" s="159"/>
      <c r="WLR48" s="159"/>
      <c r="WLS48" s="159"/>
      <c r="WLT48" s="159"/>
      <c r="WLU48" s="159"/>
      <c r="WLV48" s="159"/>
      <c r="WLW48" s="159"/>
      <c r="WLX48" s="159"/>
      <c r="WLY48" s="159"/>
      <c r="WLZ48" s="159"/>
      <c r="WMA48" s="159"/>
      <c r="WMB48" s="159"/>
      <c r="WMC48" s="159"/>
      <c r="WMD48" s="159"/>
      <c r="WME48" s="159"/>
      <c r="WMF48" s="159"/>
      <c r="WMG48" s="159"/>
      <c r="WMH48" s="159"/>
      <c r="WMI48" s="159"/>
      <c r="WMJ48" s="159"/>
      <c r="WMK48" s="159"/>
      <c r="WML48" s="159"/>
      <c r="WMM48" s="159"/>
      <c r="WMN48" s="159"/>
      <c r="WMO48" s="159"/>
      <c r="WMP48" s="159"/>
      <c r="WMQ48" s="159"/>
      <c r="WMR48" s="159"/>
      <c r="WMS48" s="159"/>
      <c r="WMT48" s="159"/>
      <c r="WMU48" s="159"/>
      <c r="WMV48" s="159"/>
      <c r="WMW48" s="159"/>
      <c r="WMX48" s="159"/>
      <c r="WMY48" s="159"/>
      <c r="WMZ48" s="159"/>
      <c r="WNA48" s="159"/>
      <c r="WNB48" s="159"/>
      <c r="WNC48" s="159"/>
      <c r="WND48" s="159"/>
      <c r="WNE48" s="159"/>
      <c r="WNF48" s="159"/>
      <c r="WNG48" s="159"/>
      <c r="WNH48" s="159"/>
      <c r="WNI48" s="159"/>
      <c r="WNJ48" s="159"/>
      <c r="WNK48" s="159"/>
      <c r="WNL48" s="159"/>
      <c r="WNM48" s="159"/>
      <c r="WNN48" s="159"/>
      <c r="WNO48" s="159"/>
      <c r="WNP48" s="159"/>
      <c r="WNQ48" s="159"/>
      <c r="WNR48" s="159"/>
      <c r="WNS48" s="159"/>
      <c r="WNT48" s="159"/>
      <c r="WNU48" s="159"/>
      <c r="WNV48" s="159"/>
      <c r="WNW48" s="159"/>
      <c r="WNX48" s="159"/>
      <c r="WNY48" s="159"/>
      <c r="WNZ48" s="159"/>
      <c r="WOA48" s="159"/>
      <c r="WOB48" s="159"/>
      <c r="WOC48" s="159"/>
      <c r="WOD48" s="159"/>
      <c r="WOE48" s="159"/>
      <c r="WOF48" s="159"/>
      <c r="WOG48" s="159"/>
      <c r="WOH48" s="159"/>
      <c r="WOI48" s="159"/>
      <c r="WOJ48" s="159"/>
      <c r="WOK48" s="159"/>
      <c r="WOL48" s="159"/>
      <c r="WOM48" s="159"/>
      <c r="WON48" s="159"/>
      <c r="WOO48" s="159"/>
      <c r="WOP48" s="159"/>
      <c r="WOQ48" s="159"/>
      <c r="WOR48" s="159"/>
      <c r="WOS48" s="159"/>
      <c r="WOT48" s="159"/>
      <c r="WOU48" s="159"/>
      <c r="WOV48" s="159"/>
      <c r="WOW48" s="159"/>
      <c r="WOX48" s="159"/>
      <c r="WOY48" s="159"/>
      <c r="WOZ48" s="159"/>
      <c r="WPA48" s="159"/>
      <c r="WPB48" s="159"/>
      <c r="WPC48" s="159"/>
      <c r="WPD48" s="159"/>
      <c r="WPE48" s="159"/>
      <c r="WPF48" s="159"/>
      <c r="WPG48" s="159"/>
      <c r="WPH48" s="159"/>
      <c r="WPI48" s="159"/>
      <c r="WPJ48" s="159"/>
      <c r="WPK48" s="159"/>
      <c r="WPL48" s="159"/>
      <c r="WPM48" s="159"/>
      <c r="WPN48" s="159"/>
      <c r="WPO48" s="159"/>
      <c r="WPP48" s="159"/>
      <c r="WPQ48" s="159"/>
      <c r="WPR48" s="159"/>
      <c r="WPS48" s="159"/>
      <c r="WPT48" s="159"/>
      <c r="WPU48" s="159"/>
      <c r="WPV48" s="159"/>
      <c r="WPW48" s="159"/>
      <c r="WPX48" s="159"/>
      <c r="WPY48" s="159"/>
      <c r="WPZ48" s="159"/>
      <c r="WQA48" s="159"/>
      <c r="WQB48" s="159"/>
      <c r="WQC48" s="159"/>
      <c r="WQD48" s="159"/>
      <c r="WQE48" s="159"/>
      <c r="WQF48" s="159"/>
      <c r="WQG48" s="159"/>
      <c r="WQH48" s="159"/>
      <c r="WQI48" s="159"/>
      <c r="WQJ48" s="159"/>
      <c r="WQK48" s="159"/>
      <c r="WQL48" s="159"/>
      <c r="WQM48" s="159"/>
      <c r="WQN48" s="159"/>
      <c r="WQO48" s="159"/>
      <c r="WQP48" s="159"/>
      <c r="WQQ48" s="159"/>
      <c r="WQR48" s="159"/>
      <c r="WQS48" s="159"/>
      <c r="WQT48" s="159"/>
      <c r="WQU48" s="159"/>
      <c r="WQV48" s="159"/>
      <c r="WQW48" s="159"/>
      <c r="WQX48" s="159"/>
      <c r="WQY48" s="159"/>
      <c r="WQZ48" s="159"/>
      <c r="WRA48" s="159"/>
      <c r="WRB48" s="159"/>
      <c r="WRC48" s="159"/>
      <c r="WRD48" s="159"/>
      <c r="WRE48" s="159"/>
      <c r="WRF48" s="159"/>
      <c r="WRG48" s="159"/>
      <c r="WRH48" s="159"/>
      <c r="WRI48" s="159"/>
      <c r="WRJ48" s="159"/>
      <c r="WRK48" s="159"/>
      <c r="WRL48" s="159"/>
      <c r="WRM48" s="159"/>
      <c r="WRN48" s="159"/>
      <c r="WRO48" s="159"/>
      <c r="WRP48" s="159"/>
      <c r="WRQ48" s="159"/>
      <c r="WRR48" s="159"/>
      <c r="WRS48" s="159"/>
      <c r="WRT48" s="159"/>
      <c r="WRU48" s="159"/>
      <c r="WRV48" s="159"/>
      <c r="WRW48" s="159"/>
      <c r="WRX48" s="159"/>
      <c r="WRY48" s="159"/>
      <c r="WRZ48" s="159"/>
      <c r="WSA48" s="159"/>
      <c r="WSB48" s="159"/>
      <c r="WSC48" s="159"/>
      <c r="WSD48" s="159"/>
      <c r="WSE48" s="159"/>
      <c r="WSF48" s="159"/>
      <c r="WSG48" s="159"/>
      <c r="WSH48" s="159"/>
      <c r="WSI48" s="159"/>
      <c r="WSJ48" s="159"/>
      <c r="WSK48" s="159"/>
      <c r="WSL48" s="159"/>
      <c r="WSM48" s="159"/>
      <c r="WSN48" s="159"/>
      <c r="WSO48" s="159"/>
      <c r="WSP48" s="159"/>
      <c r="WSQ48" s="159"/>
      <c r="WSR48" s="159"/>
      <c r="WSS48" s="159"/>
      <c r="WST48" s="159"/>
      <c r="WSU48" s="159"/>
      <c r="WSV48" s="159"/>
      <c r="WSW48" s="159"/>
      <c r="WSX48" s="159"/>
      <c r="WSY48" s="159"/>
      <c r="WSZ48" s="159"/>
      <c r="WTA48" s="159"/>
      <c r="WTB48" s="159"/>
      <c r="WTC48" s="159"/>
      <c r="WTD48" s="159"/>
      <c r="WTE48" s="159"/>
      <c r="WTF48" s="159"/>
      <c r="WTG48" s="159"/>
      <c r="WTH48" s="159"/>
      <c r="WTI48" s="159"/>
      <c r="WTJ48" s="159"/>
      <c r="WTK48" s="159"/>
      <c r="WTL48" s="159"/>
      <c r="WTM48" s="159"/>
      <c r="WTN48" s="159"/>
      <c r="WTO48" s="159"/>
      <c r="WTP48" s="159"/>
      <c r="WTQ48" s="159"/>
      <c r="WTR48" s="159"/>
      <c r="WTS48" s="159"/>
      <c r="WTT48" s="159"/>
      <c r="WTU48" s="159"/>
      <c r="WTV48" s="159"/>
      <c r="WTW48" s="159"/>
      <c r="WTX48" s="159"/>
      <c r="WTY48" s="159"/>
      <c r="WTZ48" s="159"/>
      <c r="WUA48" s="159"/>
      <c r="WUB48" s="159"/>
      <c r="WUC48" s="159"/>
      <c r="WUD48" s="159"/>
      <c r="WUE48" s="159"/>
      <c r="WUF48" s="159"/>
      <c r="WUG48" s="159"/>
      <c r="WUH48" s="159"/>
      <c r="WUI48" s="159"/>
      <c r="WUJ48" s="159"/>
      <c r="WUK48" s="159"/>
      <c r="WUL48" s="159"/>
      <c r="WUM48" s="159"/>
      <c r="WUN48" s="159"/>
      <c r="WUO48" s="159"/>
      <c r="WUP48" s="159"/>
      <c r="WUQ48" s="159"/>
      <c r="WUR48" s="159"/>
      <c r="WUS48" s="159"/>
      <c r="WUT48" s="159"/>
      <c r="WUU48" s="159"/>
      <c r="WUV48" s="159"/>
      <c r="WUW48" s="159"/>
      <c r="WUX48" s="159"/>
      <c r="WUY48" s="159"/>
      <c r="WUZ48" s="159"/>
      <c r="WVA48" s="159"/>
      <c r="WVB48" s="159"/>
      <c r="WVC48" s="159"/>
      <c r="WVD48" s="159"/>
      <c r="WVE48" s="159"/>
      <c r="WVF48" s="159"/>
      <c r="WVG48" s="159"/>
      <c r="WVH48" s="159"/>
      <c r="WVI48" s="159"/>
      <c r="WVJ48" s="159"/>
      <c r="WVK48" s="159"/>
      <c r="WVL48" s="159"/>
      <c r="WVM48" s="159"/>
      <c r="WVN48" s="159"/>
      <c r="WVO48" s="159"/>
      <c r="WVP48" s="159"/>
      <c r="WVQ48" s="159"/>
      <c r="WVR48" s="159"/>
      <c r="WVS48" s="159"/>
      <c r="WVT48" s="159"/>
      <c r="WVU48" s="159"/>
      <c r="WVV48" s="159"/>
      <c r="WVW48" s="159"/>
      <c r="WVX48" s="159"/>
      <c r="WVY48" s="159"/>
      <c r="WVZ48" s="159"/>
      <c r="WWA48" s="159"/>
      <c r="WWB48" s="159"/>
      <c r="WWC48" s="159"/>
      <c r="WWD48" s="159"/>
      <c r="WWE48" s="159"/>
      <c r="WWF48" s="159"/>
      <c r="WWG48" s="159"/>
      <c r="WWH48" s="159"/>
      <c r="WWI48" s="159"/>
      <c r="WWJ48" s="159"/>
      <c r="WWK48" s="159"/>
      <c r="WWL48" s="159"/>
      <c r="WWM48" s="159"/>
      <c r="WWN48" s="159"/>
      <c r="WWO48" s="159"/>
      <c r="WWP48" s="159"/>
      <c r="WWQ48" s="159"/>
      <c r="WWR48" s="159"/>
      <c r="WWS48" s="159"/>
      <c r="WWT48" s="159"/>
      <c r="WWU48" s="159"/>
      <c r="WWV48" s="159"/>
      <c r="WWW48" s="159"/>
      <c r="WWX48" s="159"/>
      <c r="WWY48" s="159"/>
      <c r="WWZ48" s="159"/>
      <c r="WXA48" s="159"/>
      <c r="WXB48" s="159"/>
      <c r="WXC48" s="159"/>
      <c r="WXD48" s="159"/>
      <c r="WXE48" s="159"/>
      <c r="WXF48" s="159"/>
      <c r="WXG48" s="159"/>
      <c r="WXH48" s="159"/>
      <c r="WXI48" s="159"/>
      <c r="WXJ48" s="159"/>
      <c r="WXK48" s="159"/>
      <c r="WXL48" s="159"/>
      <c r="WXM48" s="159"/>
      <c r="WXN48" s="159"/>
      <c r="WXO48" s="159"/>
      <c r="WXP48" s="159"/>
      <c r="WXQ48" s="159"/>
      <c r="WXR48" s="159"/>
      <c r="WXS48" s="159"/>
      <c r="WXT48" s="159"/>
      <c r="WXU48" s="159"/>
      <c r="WXV48" s="159"/>
      <c r="WXW48" s="159"/>
      <c r="WXX48" s="159"/>
      <c r="WXY48" s="159"/>
      <c r="WXZ48" s="159"/>
      <c r="WYA48" s="159"/>
      <c r="WYB48" s="159"/>
      <c r="WYC48" s="159"/>
      <c r="WYD48" s="159"/>
      <c r="WYE48" s="159"/>
      <c r="WYF48" s="159"/>
      <c r="WYG48" s="159"/>
      <c r="WYH48" s="159"/>
      <c r="WYI48" s="159"/>
      <c r="WYJ48" s="159"/>
      <c r="WYK48" s="159"/>
      <c r="WYL48" s="159"/>
      <c r="WYM48" s="159"/>
      <c r="WYN48" s="159"/>
      <c r="WYO48" s="159"/>
      <c r="WYP48" s="159"/>
      <c r="WYQ48" s="159"/>
      <c r="WYR48" s="159"/>
      <c r="WYS48" s="159"/>
      <c r="WYT48" s="159"/>
      <c r="WYU48" s="159"/>
      <c r="WYV48" s="159"/>
      <c r="WYW48" s="159"/>
      <c r="WYX48" s="159"/>
      <c r="WYY48" s="159"/>
      <c r="WYZ48" s="159"/>
      <c r="WZA48" s="159"/>
      <c r="WZB48" s="159"/>
      <c r="WZC48" s="159"/>
      <c r="WZD48" s="159"/>
      <c r="WZE48" s="159"/>
      <c r="WZF48" s="159"/>
      <c r="WZG48" s="159"/>
      <c r="WZH48" s="159"/>
      <c r="WZI48" s="159"/>
      <c r="WZJ48" s="159"/>
      <c r="WZK48" s="159"/>
      <c r="WZL48" s="159"/>
      <c r="WZM48" s="159"/>
      <c r="WZN48" s="159"/>
      <c r="WZO48" s="159"/>
      <c r="WZP48" s="159"/>
      <c r="WZQ48" s="159"/>
      <c r="WZR48" s="159"/>
      <c r="WZS48" s="159"/>
      <c r="WZT48" s="159"/>
      <c r="WZU48" s="159"/>
      <c r="WZV48" s="159"/>
      <c r="WZW48" s="159"/>
      <c r="WZX48" s="159"/>
      <c r="WZY48" s="159"/>
      <c r="WZZ48" s="159"/>
      <c r="XAA48" s="159"/>
      <c r="XAB48" s="159"/>
      <c r="XAC48" s="159"/>
      <c r="XAD48" s="159"/>
      <c r="XAE48" s="159"/>
      <c r="XAF48" s="159"/>
      <c r="XAG48" s="159"/>
      <c r="XAH48" s="159"/>
      <c r="XAI48" s="159"/>
      <c r="XAJ48" s="159"/>
      <c r="XAK48" s="159"/>
      <c r="XAL48" s="159"/>
      <c r="XAM48" s="159"/>
      <c r="XAN48" s="159"/>
      <c r="XAO48" s="159"/>
      <c r="XAP48" s="159"/>
      <c r="XAQ48" s="159"/>
      <c r="XAR48" s="159"/>
      <c r="XAS48" s="159"/>
      <c r="XAT48" s="159"/>
      <c r="XAU48" s="159"/>
      <c r="XAV48" s="159"/>
      <c r="XAW48" s="159"/>
      <c r="XAX48" s="159"/>
      <c r="XAY48" s="159"/>
      <c r="XAZ48" s="159"/>
      <c r="XBA48" s="159"/>
      <c r="XBB48" s="159"/>
      <c r="XBC48" s="159"/>
      <c r="XBD48" s="159"/>
      <c r="XBE48" s="159"/>
      <c r="XBF48" s="159"/>
      <c r="XBG48" s="159"/>
      <c r="XBH48" s="159"/>
      <c r="XBI48" s="159"/>
      <c r="XBJ48" s="159"/>
      <c r="XBK48" s="159"/>
      <c r="XBL48" s="159"/>
      <c r="XBM48" s="159"/>
      <c r="XBN48" s="159"/>
      <c r="XBO48" s="159"/>
      <c r="XBP48" s="159"/>
      <c r="XBQ48" s="159"/>
      <c r="XBR48" s="159"/>
      <c r="XBS48" s="159"/>
      <c r="XBT48" s="159"/>
      <c r="XBU48" s="159"/>
      <c r="XBV48" s="159"/>
      <c r="XBW48" s="159"/>
      <c r="XBX48" s="159"/>
      <c r="XBY48" s="159"/>
      <c r="XBZ48" s="159"/>
      <c r="XCA48" s="159"/>
      <c r="XCB48" s="159"/>
      <c r="XCC48" s="159"/>
      <c r="XCD48" s="159"/>
      <c r="XCE48" s="159"/>
      <c r="XCF48" s="159"/>
      <c r="XCG48" s="159"/>
      <c r="XCH48" s="159"/>
      <c r="XCI48" s="159"/>
      <c r="XCJ48" s="159"/>
      <c r="XCK48" s="159"/>
      <c r="XCL48" s="159"/>
      <c r="XCM48" s="159"/>
      <c r="XCN48" s="159"/>
      <c r="XCO48" s="159"/>
      <c r="XCP48" s="159"/>
      <c r="XCQ48" s="159"/>
      <c r="XCR48" s="159"/>
      <c r="XCS48" s="159"/>
      <c r="XCT48" s="159"/>
      <c r="XCU48" s="159"/>
      <c r="XCV48" s="159"/>
      <c r="XCW48" s="159"/>
      <c r="XCX48" s="159"/>
      <c r="XCY48" s="159"/>
      <c r="XCZ48" s="159"/>
      <c r="XDA48" s="159"/>
      <c r="XDB48" s="159"/>
      <c r="XDC48" s="159"/>
      <c r="XDD48" s="159"/>
      <c r="XDE48" s="159"/>
      <c r="XDF48" s="159"/>
      <c r="XDG48" s="159"/>
      <c r="XDH48" s="159"/>
      <c r="XDI48" s="159"/>
      <c r="XDJ48" s="159"/>
      <c r="XDK48" s="159"/>
      <c r="XDL48" s="159"/>
      <c r="XDM48" s="159"/>
      <c r="XDN48" s="159"/>
      <c r="XDO48" s="159"/>
      <c r="XDP48" s="159"/>
      <c r="XDQ48" s="159"/>
      <c r="XDR48" s="159"/>
      <c r="XDS48" s="159"/>
      <c r="XDT48" s="159"/>
      <c r="XDU48" s="159"/>
      <c r="XDV48" s="159"/>
      <c r="XDW48" s="159"/>
      <c r="XDX48" s="159"/>
      <c r="XDY48" s="159"/>
      <c r="XDZ48" s="159"/>
      <c r="XEA48" s="159"/>
      <c r="XEB48" s="159"/>
      <c r="XEC48" s="159"/>
      <c r="XED48" s="159"/>
      <c r="XEE48" s="159"/>
      <c r="XEF48" s="159"/>
      <c r="XEG48" s="159"/>
      <c r="XEH48" s="159"/>
      <c r="XEI48" s="159"/>
      <c r="XEJ48" s="159"/>
      <c r="XEK48" s="159"/>
      <c r="XEL48" s="159"/>
      <c r="XEM48" s="159"/>
      <c r="XEN48" s="159"/>
      <c r="XEO48" s="159"/>
      <c r="XEP48" s="159"/>
      <c r="XEQ48" s="159"/>
      <c r="XER48" s="159"/>
      <c r="XES48" s="159"/>
      <c r="XET48" s="159"/>
      <c r="XEU48" s="159"/>
      <c r="XEV48" s="159"/>
      <c r="XEW48" s="159"/>
      <c r="XEX48" s="159"/>
      <c r="XEY48" s="159"/>
      <c r="XEZ48" s="159"/>
      <c r="XFA48" s="159"/>
      <c r="XFB48" s="159"/>
      <c r="XFC48" s="159"/>
    </row>
    <row r="49" spans="1:16383">
      <c r="A49" s="1222"/>
      <c r="B49" s="1222"/>
      <c r="C49" s="1222"/>
      <c r="D49" s="1222"/>
      <c r="E49" s="1222"/>
      <c r="F49" s="1222"/>
      <c r="G49" s="161"/>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c r="CZ49" s="159"/>
      <c r="DA49" s="159"/>
      <c r="DB49" s="159"/>
      <c r="DC49" s="159"/>
      <c r="DD49" s="159"/>
      <c r="DE49" s="159"/>
      <c r="DF49" s="159"/>
      <c r="DG49" s="159"/>
      <c r="DH49" s="159"/>
      <c r="DI49" s="159"/>
      <c r="DJ49" s="159"/>
      <c r="DK49" s="159"/>
      <c r="DL49" s="159"/>
      <c r="DM49" s="159"/>
      <c r="DN49" s="159"/>
      <c r="DO49" s="159"/>
      <c r="DP49" s="159"/>
      <c r="DQ49" s="159"/>
      <c r="DR49" s="159"/>
      <c r="DS49" s="159"/>
      <c r="DT49" s="159"/>
      <c r="DU49" s="159"/>
      <c r="DV49" s="159"/>
      <c r="DW49" s="159"/>
      <c r="DX49" s="159"/>
      <c r="DY49" s="159"/>
      <c r="DZ49" s="159"/>
      <c r="EA49" s="159"/>
      <c r="EB49" s="159"/>
      <c r="EC49" s="159"/>
      <c r="ED49" s="159"/>
      <c r="EE49" s="159"/>
      <c r="EF49" s="159"/>
      <c r="EG49" s="159"/>
      <c r="EH49" s="159"/>
      <c r="EI49" s="159"/>
      <c r="EJ49" s="159"/>
      <c r="EK49" s="159"/>
      <c r="EL49" s="159"/>
      <c r="EM49" s="159"/>
      <c r="EN49" s="159"/>
      <c r="EO49" s="159"/>
      <c r="EP49" s="159"/>
      <c r="EQ49" s="159"/>
      <c r="ER49" s="159"/>
      <c r="ES49" s="159"/>
      <c r="ET49" s="159"/>
      <c r="EU49" s="159"/>
      <c r="EV49" s="159"/>
      <c r="EW49" s="159"/>
      <c r="EX49" s="159"/>
      <c r="EY49" s="159"/>
      <c r="EZ49" s="159"/>
      <c r="FA49" s="159"/>
      <c r="FB49" s="159"/>
      <c r="FC49" s="159"/>
      <c r="FD49" s="159"/>
      <c r="FE49" s="159"/>
      <c r="FF49" s="159"/>
      <c r="FG49" s="159"/>
      <c r="FH49" s="159"/>
      <c r="FI49" s="159"/>
      <c r="FJ49" s="159"/>
      <c r="FK49" s="159"/>
      <c r="FL49" s="159"/>
      <c r="FM49" s="159"/>
      <c r="FN49" s="159"/>
      <c r="FO49" s="159"/>
      <c r="FP49" s="159"/>
      <c r="FQ49" s="159"/>
      <c r="FR49" s="159"/>
      <c r="FS49" s="159"/>
      <c r="FT49" s="159"/>
      <c r="FU49" s="159"/>
      <c r="FV49" s="159"/>
      <c r="FW49" s="159"/>
      <c r="FX49" s="159"/>
      <c r="FY49" s="159"/>
      <c r="FZ49" s="159"/>
      <c r="GA49" s="159"/>
      <c r="GB49" s="159"/>
      <c r="GC49" s="159"/>
      <c r="GD49" s="159"/>
      <c r="GE49" s="159"/>
      <c r="GF49" s="159"/>
      <c r="GG49" s="159"/>
      <c r="GH49" s="159"/>
      <c r="GI49" s="159"/>
      <c r="GJ49" s="159"/>
      <c r="GK49" s="159"/>
      <c r="GL49" s="159"/>
      <c r="GM49" s="159"/>
      <c r="GN49" s="159"/>
      <c r="GO49" s="159"/>
      <c r="GP49" s="159"/>
      <c r="GQ49" s="159"/>
      <c r="GR49" s="159"/>
      <c r="GS49" s="159"/>
      <c r="GT49" s="159"/>
      <c r="GU49" s="159"/>
      <c r="GV49" s="159"/>
      <c r="GW49" s="159"/>
      <c r="GX49" s="159"/>
      <c r="GY49" s="159"/>
      <c r="GZ49" s="159"/>
      <c r="HA49" s="159"/>
      <c r="HB49" s="159"/>
      <c r="HC49" s="159"/>
      <c r="HD49" s="159"/>
      <c r="HE49" s="159"/>
      <c r="HF49" s="159"/>
      <c r="HG49" s="159"/>
      <c r="HH49" s="159"/>
      <c r="HI49" s="159"/>
      <c r="HJ49" s="159"/>
      <c r="HK49" s="159"/>
      <c r="HL49" s="159"/>
      <c r="HM49" s="159"/>
      <c r="HN49" s="159"/>
      <c r="HO49" s="159"/>
      <c r="HP49" s="159"/>
      <c r="HQ49" s="159"/>
      <c r="HR49" s="159"/>
      <c r="HS49" s="159"/>
      <c r="HT49" s="159"/>
      <c r="HU49" s="159"/>
      <c r="HV49" s="159"/>
      <c r="HW49" s="159"/>
      <c r="HX49" s="159"/>
      <c r="HY49" s="159"/>
      <c r="HZ49" s="159"/>
      <c r="IA49" s="159"/>
      <c r="IB49" s="159"/>
      <c r="IC49" s="159"/>
      <c r="ID49" s="159"/>
      <c r="IE49" s="159"/>
      <c r="IF49" s="159"/>
      <c r="IG49" s="159"/>
      <c r="IH49" s="159"/>
      <c r="II49" s="159"/>
      <c r="IJ49" s="159"/>
      <c r="IK49" s="159"/>
      <c r="IL49" s="159"/>
      <c r="IM49" s="159"/>
      <c r="IN49" s="159"/>
      <c r="IO49" s="159"/>
      <c r="IP49" s="159"/>
      <c r="IQ49" s="159"/>
      <c r="IR49" s="159"/>
      <c r="IS49" s="159"/>
      <c r="IT49" s="159"/>
      <c r="IU49" s="159"/>
      <c r="IV49" s="159"/>
      <c r="IW49" s="159"/>
      <c r="IX49" s="159"/>
      <c r="IY49" s="159"/>
      <c r="IZ49" s="159"/>
      <c r="JA49" s="159"/>
      <c r="JB49" s="159"/>
      <c r="JC49" s="159"/>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c r="KJ49" s="159"/>
      <c r="KK49" s="159"/>
      <c r="KL49" s="159"/>
      <c r="KM49" s="159"/>
      <c r="KN49" s="159"/>
      <c r="KO49" s="159"/>
      <c r="KP49" s="159"/>
      <c r="KQ49" s="159"/>
      <c r="KR49" s="159"/>
      <c r="KS49" s="159"/>
      <c r="KT49" s="159"/>
      <c r="KU49" s="159"/>
      <c r="KV49" s="159"/>
      <c r="KW49" s="159"/>
      <c r="KX49" s="159"/>
      <c r="KY49" s="159"/>
      <c r="KZ49" s="159"/>
      <c r="LA49" s="159"/>
      <c r="LB49" s="159"/>
      <c r="LC49" s="159"/>
      <c r="LD49" s="159"/>
      <c r="LE49" s="159"/>
      <c r="LF49" s="159"/>
      <c r="LG49" s="159"/>
      <c r="LH49" s="159"/>
      <c r="LI49" s="159"/>
      <c r="LJ49" s="159"/>
      <c r="LK49" s="159"/>
      <c r="LL49" s="159"/>
      <c r="LM49" s="159"/>
      <c r="LN49" s="159"/>
      <c r="LO49" s="159"/>
      <c r="LP49" s="159"/>
      <c r="LQ49" s="159"/>
      <c r="LR49" s="159"/>
      <c r="LS49" s="159"/>
      <c r="LT49" s="159"/>
      <c r="LU49" s="159"/>
      <c r="LV49" s="159"/>
      <c r="LW49" s="159"/>
      <c r="LX49" s="159"/>
      <c r="LY49" s="159"/>
      <c r="LZ49" s="159"/>
      <c r="MA49" s="159"/>
      <c r="MB49" s="159"/>
      <c r="MC49" s="159"/>
      <c r="MD49" s="159"/>
      <c r="ME49" s="159"/>
      <c r="MF49" s="159"/>
      <c r="MG49" s="159"/>
      <c r="MH49" s="159"/>
      <c r="MI49" s="159"/>
      <c r="MJ49" s="159"/>
      <c r="MK49" s="159"/>
      <c r="ML49" s="159"/>
      <c r="MM49" s="159"/>
      <c r="MN49" s="159"/>
      <c r="MO49" s="159"/>
      <c r="MP49" s="159"/>
      <c r="MQ49" s="159"/>
      <c r="MR49" s="159"/>
      <c r="MS49" s="159"/>
      <c r="MT49" s="159"/>
      <c r="MU49" s="159"/>
      <c r="MV49" s="159"/>
      <c r="MW49" s="159"/>
      <c r="MX49" s="159"/>
      <c r="MY49" s="159"/>
      <c r="MZ49" s="159"/>
      <c r="NA49" s="159"/>
      <c r="NB49" s="159"/>
      <c r="NC49" s="159"/>
      <c r="ND49" s="159"/>
      <c r="NE49" s="159"/>
      <c r="NF49" s="159"/>
      <c r="NG49" s="159"/>
      <c r="NH49" s="159"/>
      <c r="NI49" s="159"/>
      <c r="NJ49" s="159"/>
      <c r="NK49" s="159"/>
      <c r="NL49" s="159"/>
      <c r="NM49" s="159"/>
      <c r="NN49" s="159"/>
      <c r="NO49" s="159"/>
      <c r="NP49" s="159"/>
      <c r="NQ49" s="159"/>
      <c r="NR49" s="159"/>
      <c r="NS49" s="159"/>
      <c r="NT49" s="159"/>
      <c r="NU49" s="159"/>
      <c r="NV49" s="159"/>
      <c r="NW49" s="159"/>
      <c r="NX49" s="159"/>
      <c r="NY49" s="159"/>
      <c r="NZ49" s="159"/>
      <c r="OA49" s="159"/>
      <c r="OB49" s="159"/>
      <c r="OC49" s="159"/>
      <c r="OD49" s="159"/>
      <c r="OE49" s="159"/>
      <c r="OF49" s="159"/>
      <c r="OG49" s="159"/>
      <c r="OH49" s="159"/>
      <c r="OI49" s="159"/>
      <c r="OJ49" s="159"/>
      <c r="OK49" s="159"/>
      <c r="OL49" s="159"/>
      <c r="OM49" s="159"/>
      <c r="ON49" s="159"/>
      <c r="OO49" s="159"/>
      <c r="OP49" s="159"/>
      <c r="OQ49" s="159"/>
      <c r="OR49" s="159"/>
      <c r="OS49" s="159"/>
      <c r="OT49" s="159"/>
      <c r="OU49" s="159"/>
      <c r="OV49" s="159"/>
      <c r="OW49" s="159"/>
      <c r="OX49" s="159"/>
      <c r="OY49" s="159"/>
      <c r="OZ49" s="159"/>
      <c r="PA49" s="159"/>
      <c r="PB49" s="159"/>
      <c r="PC49" s="159"/>
      <c r="PD49" s="159"/>
      <c r="PE49" s="159"/>
      <c r="PF49" s="159"/>
      <c r="PG49" s="159"/>
      <c r="PH49" s="159"/>
      <c r="PI49" s="159"/>
      <c r="PJ49" s="159"/>
      <c r="PK49" s="159"/>
      <c r="PL49" s="159"/>
      <c r="PM49" s="159"/>
      <c r="PN49" s="159"/>
      <c r="PO49" s="159"/>
      <c r="PP49" s="159"/>
      <c r="PQ49" s="159"/>
      <c r="PR49" s="159"/>
      <c r="PS49" s="159"/>
      <c r="PT49" s="159"/>
      <c r="PU49" s="159"/>
      <c r="PV49" s="159"/>
      <c r="PW49" s="159"/>
      <c r="PX49" s="159"/>
      <c r="PY49" s="159"/>
      <c r="PZ49" s="159"/>
      <c r="QA49" s="159"/>
      <c r="QB49" s="159"/>
      <c r="QC49" s="159"/>
      <c r="QD49" s="159"/>
      <c r="QE49" s="159"/>
      <c r="QF49" s="159"/>
      <c r="QG49" s="159"/>
      <c r="QH49" s="159"/>
      <c r="QI49" s="159"/>
      <c r="QJ49" s="159"/>
      <c r="QK49" s="159"/>
      <c r="QL49" s="159"/>
      <c r="QM49" s="159"/>
      <c r="QN49" s="159"/>
      <c r="QO49" s="159"/>
      <c r="QP49" s="159"/>
      <c r="QQ49" s="159"/>
      <c r="QR49" s="159"/>
      <c r="QS49" s="159"/>
      <c r="QT49" s="159"/>
      <c r="QU49" s="159"/>
      <c r="QV49" s="159"/>
      <c r="QW49" s="159"/>
      <c r="QX49" s="159"/>
      <c r="QY49" s="159"/>
      <c r="QZ49" s="159"/>
      <c r="RA49" s="159"/>
      <c r="RB49" s="159"/>
      <c r="RC49" s="159"/>
      <c r="RD49" s="159"/>
      <c r="RE49" s="159"/>
      <c r="RF49" s="159"/>
      <c r="RG49" s="159"/>
      <c r="RH49" s="159"/>
      <c r="RI49" s="159"/>
      <c r="RJ49" s="159"/>
      <c r="RK49" s="159"/>
      <c r="RL49" s="159"/>
      <c r="RM49" s="159"/>
      <c r="RN49" s="159"/>
      <c r="RO49" s="159"/>
      <c r="RP49" s="159"/>
      <c r="RQ49" s="159"/>
      <c r="RR49" s="159"/>
      <c r="RS49" s="159"/>
      <c r="RT49" s="159"/>
      <c r="RU49" s="159"/>
      <c r="RV49" s="159"/>
      <c r="RW49" s="159"/>
      <c r="RX49" s="159"/>
      <c r="RY49" s="159"/>
      <c r="RZ49" s="159"/>
      <c r="SA49" s="159"/>
      <c r="SB49" s="159"/>
      <c r="SC49" s="159"/>
      <c r="SD49" s="159"/>
      <c r="SE49" s="159"/>
      <c r="SF49" s="159"/>
      <c r="SG49" s="159"/>
      <c r="SH49" s="159"/>
      <c r="SI49" s="159"/>
      <c r="SJ49" s="159"/>
      <c r="SK49" s="159"/>
      <c r="SL49" s="159"/>
      <c r="SM49" s="159"/>
      <c r="SN49" s="159"/>
      <c r="SO49" s="159"/>
      <c r="SP49" s="159"/>
      <c r="SQ49" s="159"/>
      <c r="SR49" s="159"/>
      <c r="SS49" s="159"/>
      <c r="ST49" s="159"/>
      <c r="SU49" s="159"/>
      <c r="SV49" s="159"/>
      <c r="SW49" s="159"/>
      <c r="SX49" s="159"/>
      <c r="SY49" s="159"/>
      <c r="SZ49" s="159"/>
      <c r="TA49" s="159"/>
      <c r="TB49" s="159"/>
      <c r="TC49" s="159"/>
      <c r="TD49" s="159"/>
      <c r="TE49" s="159"/>
      <c r="TF49" s="159"/>
      <c r="TG49" s="159"/>
      <c r="TH49" s="159"/>
      <c r="TI49" s="159"/>
      <c r="TJ49" s="159"/>
      <c r="TK49" s="159"/>
      <c r="TL49" s="159"/>
      <c r="TM49" s="159"/>
      <c r="TN49" s="159"/>
      <c r="TO49" s="159"/>
      <c r="TP49" s="159"/>
      <c r="TQ49" s="159"/>
      <c r="TR49" s="159"/>
      <c r="TS49" s="159"/>
      <c r="TT49" s="159"/>
      <c r="TU49" s="159"/>
      <c r="TV49" s="159"/>
      <c r="TW49" s="159"/>
      <c r="TX49" s="159"/>
      <c r="TY49" s="159"/>
      <c r="TZ49" s="159"/>
      <c r="UA49" s="159"/>
      <c r="UB49" s="159"/>
      <c r="UC49" s="159"/>
      <c r="UD49" s="159"/>
      <c r="UE49" s="159"/>
      <c r="UF49" s="159"/>
      <c r="UG49" s="159"/>
      <c r="UH49" s="159"/>
      <c r="UI49" s="159"/>
      <c r="UJ49" s="159"/>
      <c r="UK49" s="159"/>
      <c r="UL49" s="159"/>
      <c r="UM49" s="159"/>
      <c r="UN49" s="159"/>
      <c r="UO49" s="159"/>
      <c r="UP49" s="159"/>
      <c r="UQ49" s="159"/>
      <c r="UR49" s="159"/>
      <c r="US49" s="159"/>
      <c r="UT49" s="159"/>
      <c r="UU49" s="159"/>
      <c r="UV49" s="159"/>
      <c r="UW49" s="159"/>
      <c r="UX49" s="159"/>
      <c r="UY49" s="159"/>
      <c r="UZ49" s="159"/>
      <c r="VA49" s="159"/>
      <c r="VB49" s="159"/>
      <c r="VC49" s="159"/>
      <c r="VD49" s="159"/>
      <c r="VE49" s="159"/>
      <c r="VF49" s="159"/>
      <c r="VG49" s="159"/>
      <c r="VH49" s="159"/>
      <c r="VI49" s="159"/>
      <c r="VJ49" s="159"/>
      <c r="VK49" s="159"/>
      <c r="VL49" s="159"/>
      <c r="VM49" s="159"/>
      <c r="VN49" s="159"/>
      <c r="VO49" s="159"/>
      <c r="VP49" s="159"/>
      <c r="VQ49" s="159"/>
      <c r="VR49" s="159"/>
      <c r="VS49" s="159"/>
      <c r="VT49" s="159"/>
      <c r="VU49" s="159"/>
      <c r="VV49" s="159"/>
      <c r="VW49" s="159"/>
      <c r="VX49" s="159"/>
      <c r="VY49" s="159"/>
      <c r="VZ49" s="159"/>
      <c r="WA49" s="159"/>
      <c r="WB49" s="159"/>
      <c r="WC49" s="159"/>
      <c r="WD49" s="159"/>
      <c r="WE49" s="159"/>
      <c r="WF49" s="159"/>
      <c r="WG49" s="159"/>
      <c r="WH49" s="159"/>
      <c r="WI49" s="159"/>
      <c r="WJ49" s="159"/>
      <c r="WK49" s="159"/>
      <c r="WL49" s="159"/>
      <c r="WM49" s="159"/>
      <c r="WN49" s="159"/>
      <c r="WO49" s="159"/>
      <c r="WP49" s="159"/>
      <c r="WQ49" s="159"/>
      <c r="WR49" s="159"/>
      <c r="WS49" s="159"/>
      <c r="WT49" s="159"/>
      <c r="WU49" s="159"/>
      <c r="WV49" s="159"/>
      <c r="WW49" s="159"/>
      <c r="WX49" s="159"/>
      <c r="WY49" s="159"/>
      <c r="WZ49" s="159"/>
      <c r="XA49" s="159"/>
      <c r="XB49" s="159"/>
      <c r="XC49" s="159"/>
      <c r="XD49" s="159"/>
      <c r="XE49" s="159"/>
      <c r="XF49" s="159"/>
      <c r="XG49" s="159"/>
      <c r="XH49" s="159"/>
      <c r="XI49" s="159"/>
      <c r="XJ49" s="159"/>
      <c r="XK49" s="159"/>
      <c r="XL49" s="159"/>
      <c r="XM49" s="159"/>
      <c r="XN49" s="159"/>
      <c r="XO49" s="159"/>
      <c r="XP49" s="159"/>
      <c r="XQ49" s="159"/>
      <c r="XR49" s="159"/>
      <c r="XS49" s="159"/>
      <c r="XT49" s="159"/>
      <c r="XU49" s="159"/>
      <c r="XV49" s="159"/>
      <c r="XW49" s="159"/>
      <c r="XX49" s="159"/>
      <c r="XY49" s="159"/>
      <c r="XZ49" s="159"/>
      <c r="YA49" s="159"/>
      <c r="YB49" s="159"/>
      <c r="YC49" s="159"/>
      <c r="YD49" s="159"/>
      <c r="YE49" s="159"/>
      <c r="YF49" s="159"/>
      <c r="YG49" s="159"/>
      <c r="YH49" s="159"/>
      <c r="YI49" s="159"/>
      <c r="YJ49" s="159"/>
      <c r="YK49" s="159"/>
      <c r="YL49" s="159"/>
      <c r="YM49" s="159"/>
      <c r="YN49" s="159"/>
      <c r="YO49" s="159"/>
      <c r="YP49" s="159"/>
      <c r="YQ49" s="159"/>
      <c r="YR49" s="159"/>
      <c r="YS49" s="159"/>
      <c r="YT49" s="159"/>
      <c r="YU49" s="159"/>
      <c r="YV49" s="159"/>
      <c r="YW49" s="159"/>
      <c r="YX49" s="159"/>
      <c r="YY49" s="159"/>
      <c r="YZ49" s="159"/>
      <c r="ZA49" s="159"/>
      <c r="ZB49" s="159"/>
      <c r="ZC49" s="159"/>
      <c r="ZD49" s="159"/>
      <c r="ZE49" s="159"/>
      <c r="ZF49" s="159"/>
      <c r="ZG49" s="159"/>
      <c r="ZH49" s="159"/>
      <c r="ZI49" s="159"/>
      <c r="ZJ49" s="159"/>
      <c r="ZK49" s="159"/>
      <c r="ZL49" s="159"/>
      <c r="ZM49" s="159"/>
      <c r="ZN49" s="159"/>
      <c r="ZO49" s="159"/>
      <c r="ZP49" s="159"/>
      <c r="ZQ49" s="159"/>
      <c r="ZR49" s="159"/>
      <c r="ZS49" s="159"/>
      <c r="ZT49" s="159"/>
      <c r="ZU49" s="159"/>
      <c r="ZV49" s="159"/>
      <c r="ZW49" s="159"/>
      <c r="ZX49" s="159"/>
      <c r="ZY49" s="159"/>
      <c r="ZZ49" s="159"/>
      <c r="AAA49" s="159"/>
      <c r="AAB49" s="159"/>
      <c r="AAC49" s="159"/>
      <c r="AAD49" s="159"/>
      <c r="AAE49" s="159"/>
      <c r="AAF49" s="159"/>
      <c r="AAG49" s="159"/>
      <c r="AAH49" s="159"/>
      <c r="AAI49" s="159"/>
      <c r="AAJ49" s="159"/>
      <c r="AAK49" s="159"/>
      <c r="AAL49" s="159"/>
      <c r="AAM49" s="159"/>
      <c r="AAN49" s="159"/>
      <c r="AAO49" s="159"/>
      <c r="AAP49" s="159"/>
      <c r="AAQ49" s="159"/>
      <c r="AAR49" s="159"/>
      <c r="AAS49" s="159"/>
      <c r="AAT49" s="159"/>
      <c r="AAU49" s="159"/>
      <c r="AAV49" s="159"/>
      <c r="AAW49" s="159"/>
      <c r="AAX49" s="159"/>
      <c r="AAY49" s="159"/>
      <c r="AAZ49" s="159"/>
      <c r="ABA49" s="159"/>
      <c r="ABB49" s="159"/>
      <c r="ABC49" s="159"/>
      <c r="ABD49" s="159"/>
      <c r="ABE49" s="159"/>
      <c r="ABF49" s="159"/>
      <c r="ABG49" s="159"/>
      <c r="ABH49" s="159"/>
      <c r="ABI49" s="159"/>
      <c r="ABJ49" s="159"/>
      <c r="ABK49" s="159"/>
      <c r="ABL49" s="159"/>
      <c r="ABM49" s="159"/>
      <c r="ABN49" s="159"/>
      <c r="ABO49" s="159"/>
      <c r="ABP49" s="159"/>
      <c r="ABQ49" s="159"/>
      <c r="ABR49" s="159"/>
      <c r="ABS49" s="159"/>
      <c r="ABT49" s="159"/>
      <c r="ABU49" s="159"/>
      <c r="ABV49" s="159"/>
      <c r="ABW49" s="159"/>
      <c r="ABX49" s="159"/>
      <c r="ABY49" s="159"/>
      <c r="ABZ49" s="159"/>
      <c r="ACA49" s="159"/>
      <c r="ACB49" s="159"/>
      <c r="ACC49" s="159"/>
      <c r="ACD49" s="159"/>
      <c r="ACE49" s="159"/>
      <c r="ACF49" s="159"/>
      <c r="ACG49" s="159"/>
      <c r="ACH49" s="159"/>
      <c r="ACI49" s="159"/>
      <c r="ACJ49" s="159"/>
      <c r="ACK49" s="159"/>
      <c r="ACL49" s="159"/>
      <c r="ACM49" s="159"/>
      <c r="ACN49" s="159"/>
      <c r="ACO49" s="159"/>
      <c r="ACP49" s="159"/>
      <c r="ACQ49" s="159"/>
      <c r="ACR49" s="159"/>
      <c r="ACS49" s="159"/>
      <c r="ACT49" s="159"/>
      <c r="ACU49" s="159"/>
      <c r="ACV49" s="159"/>
      <c r="ACW49" s="159"/>
      <c r="ACX49" s="159"/>
      <c r="ACY49" s="159"/>
      <c r="ACZ49" s="159"/>
      <c r="ADA49" s="159"/>
      <c r="ADB49" s="159"/>
      <c r="ADC49" s="159"/>
      <c r="ADD49" s="159"/>
      <c r="ADE49" s="159"/>
      <c r="ADF49" s="159"/>
      <c r="ADG49" s="159"/>
      <c r="ADH49" s="159"/>
      <c r="ADI49" s="159"/>
      <c r="ADJ49" s="159"/>
      <c r="ADK49" s="159"/>
      <c r="ADL49" s="159"/>
      <c r="ADM49" s="159"/>
      <c r="ADN49" s="159"/>
      <c r="ADO49" s="159"/>
      <c r="ADP49" s="159"/>
      <c r="ADQ49" s="159"/>
      <c r="ADR49" s="159"/>
      <c r="ADS49" s="159"/>
      <c r="ADT49" s="159"/>
      <c r="ADU49" s="159"/>
      <c r="ADV49" s="159"/>
      <c r="ADW49" s="159"/>
      <c r="ADX49" s="159"/>
      <c r="ADY49" s="159"/>
      <c r="ADZ49" s="159"/>
      <c r="AEA49" s="159"/>
      <c r="AEB49" s="159"/>
      <c r="AEC49" s="159"/>
      <c r="AED49" s="159"/>
      <c r="AEE49" s="159"/>
      <c r="AEF49" s="159"/>
      <c r="AEG49" s="159"/>
      <c r="AEH49" s="159"/>
      <c r="AEI49" s="159"/>
      <c r="AEJ49" s="159"/>
      <c r="AEK49" s="159"/>
      <c r="AEL49" s="159"/>
      <c r="AEM49" s="159"/>
      <c r="AEN49" s="159"/>
      <c r="AEO49" s="159"/>
      <c r="AEP49" s="159"/>
      <c r="AEQ49" s="159"/>
      <c r="AER49" s="159"/>
      <c r="AES49" s="159"/>
      <c r="AET49" s="159"/>
      <c r="AEU49" s="159"/>
      <c r="AEV49" s="159"/>
      <c r="AEW49" s="159"/>
      <c r="AEX49" s="159"/>
      <c r="AEY49" s="159"/>
      <c r="AEZ49" s="159"/>
      <c r="AFA49" s="159"/>
      <c r="AFB49" s="159"/>
      <c r="AFC49" s="159"/>
      <c r="AFD49" s="159"/>
      <c r="AFE49" s="159"/>
      <c r="AFF49" s="159"/>
      <c r="AFG49" s="159"/>
      <c r="AFH49" s="159"/>
      <c r="AFI49" s="159"/>
      <c r="AFJ49" s="159"/>
      <c r="AFK49" s="159"/>
      <c r="AFL49" s="159"/>
      <c r="AFM49" s="159"/>
      <c r="AFN49" s="159"/>
      <c r="AFO49" s="159"/>
      <c r="AFP49" s="159"/>
      <c r="AFQ49" s="159"/>
      <c r="AFR49" s="159"/>
      <c r="AFS49" s="159"/>
      <c r="AFT49" s="159"/>
      <c r="AFU49" s="159"/>
      <c r="AFV49" s="159"/>
      <c r="AFW49" s="159"/>
      <c r="AFX49" s="159"/>
      <c r="AFY49" s="159"/>
      <c r="AFZ49" s="159"/>
      <c r="AGA49" s="159"/>
      <c r="AGB49" s="159"/>
      <c r="AGC49" s="159"/>
      <c r="AGD49" s="159"/>
      <c r="AGE49" s="159"/>
      <c r="AGF49" s="159"/>
      <c r="AGG49" s="159"/>
      <c r="AGH49" s="159"/>
      <c r="AGI49" s="159"/>
      <c r="AGJ49" s="159"/>
      <c r="AGK49" s="159"/>
      <c r="AGL49" s="159"/>
      <c r="AGM49" s="159"/>
      <c r="AGN49" s="159"/>
      <c r="AGO49" s="159"/>
      <c r="AGP49" s="159"/>
      <c r="AGQ49" s="159"/>
      <c r="AGR49" s="159"/>
      <c r="AGS49" s="159"/>
      <c r="AGT49" s="159"/>
      <c r="AGU49" s="159"/>
      <c r="AGV49" s="159"/>
      <c r="AGW49" s="159"/>
      <c r="AGX49" s="159"/>
      <c r="AGY49" s="159"/>
      <c r="AGZ49" s="159"/>
      <c r="AHA49" s="159"/>
      <c r="AHB49" s="159"/>
      <c r="AHC49" s="159"/>
      <c r="AHD49" s="159"/>
      <c r="AHE49" s="159"/>
      <c r="AHF49" s="159"/>
      <c r="AHG49" s="159"/>
      <c r="AHH49" s="159"/>
      <c r="AHI49" s="159"/>
      <c r="AHJ49" s="159"/>
      <c r="AHK49" s="159"/>
      <c r="AHL49" s="159"/>
      <c r="AHM49" s="159"/>
      <c r="AHN49" s="159"/>
      <c r="AHO49" s="159"/>
      <c r="AHP49" s="159"/>
      <c r="AHQ49" s="159"/>
      <c r="AHR49" s="159"/>
      <c r="AHS49" s="159"/>
      <c r="AHT49" s="159"/>
      <c r="AHU49" s="159"/>
      <c r="AHV49" s="159"/>
      <c r="AHW49" s="159"/>
      <c r="AHX49" s="159"/>
      <c r="AHY49" s="159"/>
      <c r="AHZ49" s="159"/>
      <c r="AIA49" s="159"/>
      <c r="AIB49" s="159"/>
      <c r="AIC49" s="159"/>
      <c r="AID49" s="159"/>
      <c r="AIE49" s="159"/>
      <c r="AIF49" s="159"/>
      <c r="AIG49" s="159"/>
      <c r="AIH49" s="159"/>
      <c r="AII49" s="159"/>
      <c r="AIJ49" s="159"/>
      <c r="AIK49" s="159"/>
      <c r="AIL49" s="159"/>
      <c r="AIM49" s="159"/>
      <c r="AIN49" s="159"/>
      <c r="AIO49" s="159"/>
      <c r="AIP49" s="159"/>
      <c r="AIQ49" s="159"/>
      <c r="AIR49" s="159"/>
      <c r="AIS49" s="159"/>
      <c r="AIT49" s="159"/>
      <c r="AIU49" s="159"/>
      <c r="AIV49" s="159"/>
      <c r="AIW49" s="159"/>
      <c r="AIX49" s="159"/>
      <c r="AIY49" s="159"/>
      <c r="AIZ49" s="159"/>
      <c r="AJA49" s="159"/>
      <c r="AJB49" s="159"/>
      <c r="AJC49" s="159"/>
      <c r="AJD49" s="159"/>
      <c r="AJE49" s="159"/>
      <c r="AJF49" s="159"/>
      <c r="AJG49" s="159"/>
      <c r="AJH49" s="159"/>
      <c r="AJI49" s="159"/>
      <c r="AJJ49" s="159"/>
      <c r="AJK49" s="159"/>
      <c r="AJL49" s="159"/>
      <c r="AJM49" s="159"/>
      <c r="AJN49" s="159"/>
      <c r="AJO49" s="159"/>
      <c r="AJP49" s="159"/>
      <c r="AJQ49" s="159"/>
      <c r="AJR49" s="159"/>
      <c r="AJS49" s="159"/>
      <c r="AJT49" s="159"/>
      <c r="AJU49" s="159"/>
      <c r="AJV49" s="159"/>
      <c r="AJW49" s="159"/>
      <c r="AJX49" s="159"/>
      <c r="AJY49" s="159"/>
      <c r="AJZ49" s="159"/>
      <c r="AKA49" s="159"/>
      <c r="AKB49" s="159"/>
      <c r="AKC49" s="159"/>
      <c r="AKD49" s="159"/>
      <c r="AKE49" s="159"/>
      <c r="AKF49" s="159"/>
      <c r="AKG49" s="159"/>
      <c r="AKH49" s="159"/>
      <c r="AKI49" s="159"/>
      <c r="AKJ49" s="159"/>
      <c r="AKK49" s="159"/>
      <c r="AKL49" s="159"/>
      <c r="AKM49" s="159"/>
      <c r="AKN49" s="159"/>
      <c r="AKO49" s="159"/>
      <c r="AKP49" s="159"/>
      <c r="AKQ49" s="159"/>
      <c r="AKR49" s="159"/>
      <c r="AKS49" s="159"/>
      <c r="AKT49" s="159"/>
      <c r="AKU49" s="159"/>
      <c r="AKV49" s="159"/>
      <c r="AKW49" s="159"/>
      <c r="AKX49" s="159"/>
      <c r="AKY49" s="159"/>
      <c r="AKZ49" s="159"/>
      <c r="ALA49" s="159"/>
      <c r="ALB49" s="159"/>
      <c r="ALC49" s="159"/>
      <c r="ALD49" s="159"/>
      <c r="ALE49" s="159"/>
      <c r="ALF49" s="159"/>
      <c r="ALG49" s="159"/>
      <c r="ALH49" s="159"/>
      <c r="ALI49" s="159"/>
      <c r="ALJ49" s="159"/>
      <c r="ALK49" s="159"/>
      <c r="ALL49" s="159"/>
      <c r="ALM49" s="159"/>
      <c r="ALN49" s="159"/>
      <c r="ALO49" s="159"/>
      <c r="ALP49" s="159"/>
      <c r="ALQ49" s="159"/>
      <c r="ALR49" s="159"/>
      <c r="ALS49" s="159"/>
      <c r="ALT49" s="159"/>
      <c r="ALU49" s="159"/>
      <c r="ALV49" s="159"/>
      <c r="ALW49" s="159"/>
      <c r="ALX49" s="159"/>
      <c r="ALY49" s="159"/>
      <c r="ALZ49" s="159"/>
      <c r="AMA49" s="159"/>
      <c r="AMB49" s="159"/>
      <c r="AMC49" s="159"/>
      <c r="AMD49" s="159"/>
      <c r="AME49" s="159"/>
      <c r="AMF49" s="159"/>
      <c r="AMG49" s="159"/>
      <c r="AMH49" s="159"/>
      <c r="AMI49" s="159"/>
      <c r="AMJ49" s="159"/>
      <c r="AMK49" s="159"/>
      <c r="AML49" s="159"/>
      <c r="AMM49" s="159"/>
      <c r="AMN49" s="159"/>
      <c r="AMO49" s="159"/>
      <c r="AMP49" s="159"/>
      <c r="AMQ49" s="159"/>
      <c r="AMR49" s="159"/>
      <c r="AMS49" s="159"/>
      <c r="AMT49" s="159"/>
      <c r="AMU49" s="159"/>
      <c r="AMV49" s="159"/>
      <c r="AMW49" s="159"/>
      <c r="AMX49" s="159"/>
      <c r="AMY49" s="159"/>
      <c r="AMZ49" s="159"/>
      <c r="ANA49" s="159"/>
      <c r="ANB49" s="159"/>
      <c r="ANC49" s="159"/>
      <c r="AND49" s="159"/>
      <c r="ANE49" s="159"/>
      <c r="ANF49" s="159"/>
      <c r="ANG49" s="159"/>
      <c r="ANH49" s="159"/>
      <c r="ANI49" s="159"/>
      <c r="ANJ49" s="159"/>
      <c r="ANK49" s="159"/>
      <c r="ANL49" s="159"/>
      <c r="ANM49" s="159"/>
      <c r="ANN49" s="159"/>
      <c r="ANO49" s="159"/>
      <c r="ANP49" s="159"/>
      <c r="ANQ49" s="159"/>
      <c r="ANR49" s="159"/>
      <c r="ANS49" s="159"/>
      <c r="ANT49" s="159"/>
      <c r="ANU49" s="159"/>
      <c r="ANV49" s="159"/>
      <c r="ANW49" s="159"/>
      <c r="ANX49" s="159"/>
      <c r="ANY49" s="159"/>
      <c r="ANZ49" s="159"/>
      <c r="AOA49" s="159"/>
      <c r="AOB49" s="159"/>
      <c r="AOC49" s="159"/>
      <c r="AOD49" s="159"/>
      <c r="AOE49" s="159"/>
      <c r="AOF49" s="159"/>
      <c r="AOG49" s="159"/>
      <c r="AOH49" s="159"/>
      <c r="AOI49" s="159"/>
      <c r="AOJ49" s="159"/>
      <c r="AOK49" s="159"/>
      <c r="AOL49" s="159"/>
      <c r="AOM49" s="159"/>
      <c r="AON49" s="159"/>
      <c r="AOO49" s="159"/>
      <c r="AOP49" s="159"/>
      <c r="AOQ49" s="159"/>
      <c r="AOR49" s="159"/>
      <c r="AOS49" s="159"/>
      <c r="AOT49" s="159"/>
      <c r="AOU49" s="159"/>
      <c r="AOV49" s="159"/>
      <c r="AOW49" s="159"/>
      <c r="AOX49" s="159"/>
      <c r="AOY49" s="159"/>
      <c r="AOZ49" s="159"/>
      <c r="APA49" s="159"/>
      <c r="APB49" s="159"/>
      <c r="APC49" s="159"/>
      <c r="APD49" s="159"/>
      <c r="APE49" s="159"/>
      <c r="APF49" s="159"/>
      <c r="APG49" s="159"/>
      <c r="APH49" s="159"/>
      <c r="API49" s="159"/>
      <c r="APJ49" s="159"/>
      <c r="APK49" s="159"/>
      <c r="APL49" s="159"/>
      <c r="APM49" s="159"/>
      <c r="APN49" s="159"/>
      <c r="APO49" s="159"/>
      <c r="APP49" s="159"/>
      <c r="APQ49" s="159"/>
      <c r="APR49" s="159"/>
      <c r="APS49" s="159"/>
      <c r="APT49" s="159"/>
      <c r="APU49" s="159"/>
      <c r="APV49" s="159"/>
      <c r="APW49" s="159"/>
      <c r="APX49" s="159"/>
      <c r="APY49" s="159"/>
      <c r="APZ49" s="159"/>
      <c r="AQA49" s="159"/>
      <c r="AQB49" s="159"/>
      <c r="AQC49" s="159"/>
      <c r="AQD49" s="159"/>
      <c r="AQE49" s="159"/>
      <c r="AQF49" s="159"/>
      <c r="AQG49" s="159"/>
      <c r="AQH49" s="159"/>
      <c r="AQI49" s="159"/>
      <c r="AQJ49" s="159"/>
      <c r="AQK49" s="159"/>
      <c r="AQL49" s="159"/>
      <c r="AQM49" s="159"/>
      <c r="AQN49" s="159"/>
      <c r="AQO49" s="159"/>
      <c r="AQP49" s="159"/>
      <c r="AQQ49" s="159"/>
      <c r="AQR49" s="159"/>
      <c r="AQS49" s="159"/>
      <c r="AQT49" s="159"/>
      <c r="AQU49" s="159"/>
      <c r="AQV49" s="159"/>
      <c r="AQW49" s="159"/>
      <c r="AQX49" s="159"/>
      <c r="AQY49" s="159"/>
      <c r="AQZ49" s="159"/>
      <c r="ARA49" s="159"/>
      <c r="ARB49" s="159"/>
      <c r="ARC49" s="159"/>
      <c r="ARD49" s="159"/>
      <c r="ARE49" s="159"/>
      <c r="ARF49" s="159"/>
      <c r="ARG49" s="159"/>
      <c r="ARH49" s="159"/>
      <c r="ARI49" s="159"/>
      <c r="ARJ49" s="159"/>
      <c r="ARK49" s="159"/>
      <c r="ARL49" s="159"/>
      <c r="ARM49" s="159"/>
      <c r="ARN49" s="159"/>
      <c r="ARO49" s="159"/>
      <c r="ARP49" s="159"/>
      <c r="ARQ49" s="159"/>
      <c r="ARR49" s="159"/>
      <c r="ARS49" s="159"/>
      <c r="ART49" s="159"/>
      <c r="ARU49" s="159"/>
      <c r="ARV49" s="159"/>
      <c r="ARW49" s="159"/>
      <c r="ARX49" s="159"/>
      <c r="ARY49" s="159"/>
      <c r="ARZ49" s="159"/>
      <c r="ASA49" s="159"/>
      <c r="ASB49" s="159"/>
      <c r="ASC49" s="159"/>
      <c r="ASD49" s="159"/>
      <c r="ASE49" s="159"/>
      <c r="ASF49" s="159"/>
      <c r="ASG49" s="159"/>
      <c r="ASH49" s="159"/>
      <c r="ASI49" s="159"/>
      <c r="ASJ49" s="159"/>
      <c r="ASK49" s="159"/>
      <c r="ASL49" s="159"/>
      <c r="ASM49" s="159"/>
      <c r="ASN49" s="159"/>
      <c r="ASO49" s="159"/>
      <c r="ASP49" s="159"/>
      <c r="ASQ49" s="159"/>
      <c r="ASR49" s="159"/>
      <c r="ASS49" s="159"/>
      <c r="AST49" s="159"/>
      <c r="ASU49" s="159"/>
      <c r="ASV49" s="159"/>
      <c r="ASW49" s="159"/>
      <c r="ASX49" s="159"/>
      <c r="ASY49" s="159"/>
      <c r="ASZ49" s="159"/>
      <c r="ATA49" s="159"/>
      <c r="ATB49" s="159"/>
      <c r="ATC49" s="159"/>
      <c r="ATD49" s="159"/>
      <c r="ATE49" s="159"/>
      <c r="ATF49" s="159"/>
      <c r="ATG49" s="159"/>
      <c r="ATH49" s="159"/>
      <c r="ATI49" s="159"/>
      <c r="ATJ49" s="159"/>
      <c r="ATK49" s="159"/>
      <c r="ATL49" s="159"/>
      <c r="ATM49" s="159"/>
      <c r="ATN49" s="159"/>
      <c r="ATO49" s="159"/>
      <c r="ATP49" s="159"/>
      <c r="ATQ49" s="159"/>
      <c r="ATR49" s="159"/>
      <c r="ATS49" s="159"/>
      <c r="ATT49" s="159"/>
      <c r="ATU49" s="159"/>
      <c r="ATV49" s="159"/>
      <c r="ATW49" s="159"/>
      <c r="ATX49" s="159"/>
      <c r="ATY49" s="159"/>
      <c r="ATZ49" s="159"/>
      <c r="AUA49" s="159"/>
      <c r="AUB49" s="159"/>
      <c r="AUC49" s="159"/>
      <c r="AUD49" s="159"/>
      <c r="AUE49" s="159"/>
      <c r="AUF49" s="159"/>
      <c r="AUG49" s="159"/>
      <c r="AUH49" s="159"/>
      <c r="AUI49" s="159"/>
      <c r="AUJ49" s="159"/>
      <c r="AUK49" s="159"/>
      <c r="AUL49" s="159"/>
      <c r="AUM49" s="159"/>
      <c r="AUN49" s="159"/>
      <c r="AUO49" s="159"/>
      <c r="AUP49" s="159"/>
      <c r="AUQ49" s="159"/>
      <c r="AUR49" s="159"/>
      <c r="AUS49" s="159"/>
      <c r="AUT49" s="159"/>
      <c r="AUU49" s="159"/>
      <c r="AUV49" s="159"/>
      <c r="AUW49" s="159"/>
      <c r="AUX49" s="159"/>
      <c r="AUY49" s="159"/>
      <c r="AUZ49" s="159"/>
      <c r="AVA49" s="159"/>
      <c r="AVB49" s="159"/>
      <c r="AVC49" s="159"/>
      <c r="AVD49" s="159"/>
      <c r="AVE49" s="159"/>
      <c r="AVF49" s="159"/>
      <c r="AVG49" s="159"/>
      <c r="AVH49" s="159"/>
      <c r="AVI49" s="159"/>
      <c r="AVJ49" s="159"/>
      <c r="AVK49" s="159"/>
      <c r="AVL49" s="159"/>
      <c r="AVM49" s="159"/>
      <c r="AVN49" s="159"/>
      <c r="AVO49" s="159"/>
      <c r="AVP49" s="159"/>
      <c r="AVQ49" s="159"/>
      <c r="AVR49" s="159"/>
      <c r="AVS49" s="159"/>
      <c r="AVT49" s="159"/>
      <c r="AVU49" s="159"/>
      <c r="AVV49" s="159"/>
      <c r="AVW49" s="159"/>
      <c r="AVX49" s="159"/>
      <c r="AVY49" s="159"/>
      <c r="AVZ49" s="159"/>
      <c r="AWA49" s="159"/>
      <c r="AWB49" s="159"/>
      <c r="AWC49" s="159"/>
      <c r="AWD49" s="159"/>
      <c r="AWE49" s="159"/>
      <c r="AWF49" s="159"/>
      <c r="AWG49" s="159"/>
      <c r="AWH49" s="159"/>
      <c r="AWI49" s="159"/>
      <c r="AWJ49" s="159"/>
      <c r="AWK49" s="159"/>
      <c r="AWL49" s="159"/>
      <c r="AWM49" s="159"/>
      <c r="AWN49" s="159"/>
      <c r="AWO49" s="159"/>
      <c r="AWP49" s="159"/>
      <c r="AWQ49" s="159"/>
      <c r="AWR49" s="159"/>
      <c r="AWS49" s="159"/>
      <c r="AWT49" s="159"/>
      <c r="AWU49" s="159"/>
      <c r="AWV49" s="159"/>
      <c r="AWW49" s="159"/>
      <c r="AWX49" s="159"/>
      <c r="AWY49" s="159"/>
      <c r="AWZ49" s="159"/>
      <c r="AXA49" s="159"/>
      <c r="AXB49" s="159"/>
      <c r="AXC49" s="159"/>
      <c r="AXD49" s="159"/>
      <c r="AXE49" s="159"/>
      <c r="AXF49" s="159"/>
      <c r="AXG49" s="159"/>
      <c r="AXH49" s="159"/>
      <c r="AXI49" s="159"/>
      <c r="AXJ49" s="159"/>
      <c r="AXK49" s="159"/>
      <c r="AXL49" s="159"/>
      <c r="AXM49" s="159"/>
      <c r="AXN49" s="159"/>
      <c r="AXO49" s="159"/>
      <c r="AXP49" s="159"/>
      <c r="AXQ49" s="159"/>
      <c r="AXR49" s="159"/>
      <c r="AXS49" s="159"/>
      <c r="AXT49" s="159"/>
      <c r="AXU49" s="159"/>
      <c r="AXV49" s="159"/>
      <c r="AXW49" s="159"/>
      <c r="AXX49" s="159"/>
      <c r="AXY49" s="159"/>
      <c r="AXZ49" s="159"/>
      <c r="AYA49" s="159"/>
      <c r="AYB49" s="159"/>
      <c r="AYC49" s="159"/>
      <c r="AYD49" s="159"/>
      <c r="AYE49" s="159"/>
      <c r="AYF49" s="159"/>
      <c r="AYG49" s="159"/>
      <c r="AYH49" s="159"/>
      <c r="AYI49" s="159"/>
      <c r="AYJ49" s="159"/>
      <c r="AYK49" s="159"/>
      <c r="AYL49" s="159"/>
      <c r="AYM49" s="159"/>
      <c r="AYN49" s="159"/>
      <c r="AYO49" s="159"/>
      <c r="AYP49" s="159"/>
      <c r="AYQ49" s="159"/>
      <c r="AYR49" s="159"/>
      <c r="AYS49" s="159"/>
      <c r="AYT49" s="159"/>
      <c r="AYU49" s="159"/>
      <c r="AYV49" s="159"/>
      <c r="AYW49" s="159"/>
      <c r="AYX49" s="159"/>
      <c r="AYY49" s="159"/>
      <c r="AYZ49" s="159"/>
      <c r="AZA49" s="159"/>
      <c r="AZB49" s="159"/>
      <c r="AZC49" s="159"/>
      <c r="AZD49" s="159"/>
      <c r="AZE49" s="159"/>
      <c r="AZF49" s="159"/>
      <c r="AZG49" s="159"/>
      <c r="AZH49" s="159"/>
      <c r="AZI49" s="159"/>
      <c r="AZJ49" s="159"/>
      <c r="AZK49" s="159"/>
      <c r="AZL49" s="159"/>
      <c r="AZM49" s="159"/>
      <c r="AZN49" s="159"/>
      <c r="AZO49" s="159"/>
      <c r="AZP49" s="159"/>
      <c r="AZQ49" s="159"/>
      <c r="AZR49" s="159"/>
      <c r="AZS49" s="159"/>
      <c r="AZT49" s="159"/>
      <c r="AZU49" s="159"/>
      <c r="AZV49" s="159"/>
      <c r="AZW49" s="159"/>
      <c r="AZX49" s="159"/>
      <c r="AZY49" s="159"/>
      <c r="AZZ49" s="159"/>
      <c r="BAA49" s="159"/>
      <c r="BAB49" s="159"/>
      <c r="BAC49" s="159"/>
      <c r="BAD49" s="159"/>
      <c r="BAE49" s="159"/>
      <c r="BAF49" s="159"/>
      <c r="BAG49" s="159"/>
      <c r="BAH49" s="159"/>
      <c r="BAI49" s="159"/>
      <c r="BAJ49" s="159"/>
      <c r="BAK49" s="159"/>
      <c r="BAL49" s="159"/>
      <c r="BAM49" s="159"/>
      <c r="BAN49" s="159"/>
      <c r="BAO49" s="159"/>
      <c r="BAP49" s="159"/>
      <c r="BAQ49" s="159"/>
      <c r="BAR49" s="159"/>
      <c r="BAS49" s="159"/>
      <c r="BAT49" s="159"/>
      <c r="BAU49" s="159"/>
      <c r="BAV49" s="159"/>
      <c r="BAW49" s="159"/>
      <c r="BAX49" s="159"/>
      <c r="BAY49" s="159"/>
      <c r="BAZ49" s="159"/>
      <c r="BBA49" s="159"/>
      <c r="BBB49" s="159"/>
      <c r="BBC49" s="159"/>
      <c r="BBD49" s="159"/>
      <c r="BBE49" s="159"/>
      <c r="BBF49" s="159"/>
      <c r="BBG49" s="159"/>
      <c r="BBH49" s="159"/>
      <c r="BBI49" s="159"/>
      <c r="BBJ49" s="159"/>
      <c r="BBK49" s="159"/>
      <c r="BBL49" s="159"/>
      <c r="BBM49" s="159"/>
      <c r="BBN49" s="159"/>
      <c r="BBO49" s="159"/>
      <c r="BBP49" s="159"/>
      <c r="BBQ49" s="159"/>
      <c r="BBR49" s="159"/>
      <c r="BBS49" s="159"/>
      <c r="BBT49" s="159"/>
      <c r="BBU49" s="159"/>
      <c r="BBV49" s="159"/>
      <c r="BBW49" s="159"/>
      <c r="BBX49" s="159"/>
      <c r="BBY49" s="159"/>
      <c r="BBZ49" s="159"/>
      <c r="BCA49" s="159"/>
      <c r="BCB49" s="159"/>
      <c r="BCC49" s="159"/>
      <c r="BCD49" s="159"/>
      <c r="BCE49" s="159"/>
      <c r="BCF49" s="159"/>
      <c r="BCG49" s="159"/>
      <c r="BCH49" s="159"/>
      <c r="BCI49" s="159"/>
      <c r="BCJ49" s="159"/>
      <c r="BCK49" s="159"/>
      <c r="BCL49" s="159"/>
      <c r="BCM49" s="159"/>
      <c r="BCN49" s="159"/>
      <c r="BCO49" s="159"/>
      <c r="BCP49" s="159"/>
      <c r="BCQ49" s="159"/>
      <c r="BCR49" s="159"/>
      <c r="BCS49" s="159"/>
      <c r="BCT49" s="159"/>
      <c r="BCU49" s="159"/>
      <c r="BCV49" s="159"/>
      <c r="BCW49" s="159"/>
      <c r="BCX49" s="159"/>
      <c r="BCY49" s="159"/>
      <c r="BCZ49" s="159"/>
      <c r="BDA49" s="159"/>
      <c r="BDB49" s="159"/>
      <c r="BDC49" s="159"/>
      <c r="BDD49" s="159"/>
      <c r="BDE49" s="159"/>
      <c r="BDF49" s="159"/>
      <c r="BDG49" s="159"/>
      <c r="BDH49" s="159"/>
      <c r="BDI49" s="159"/>
      <c r="BDJ49" s="159"/>
      <c r="BDK49" s="159"/>
      <c r="BDL49" s="159"/>
      <c r="BDM49" s="159"/>
      <c r="BDN49" s="159"/>
      <c r="BDO49" s="159"/>
      <c r="BDP49" s="159"/>
      <c r="BDQ49" s="159"/>
      <c r="BDR49" s="159"/>
      <c r="BDS49" s="159"/>
      <c r="BDT49" s="159"/>
      <c r="BDU49" s="159"/>
      <c r="BDV49" s="159"/>
      <c r="BDW49" s="159"/>
      <c r="BDX49" s="159"/>
      <c r="BDY49" s="159"/>
      <c r="BDZ49" s="159"/>
      <c r="BEA49" s="159"/>
      <c r="BEB49" s="159"/>
      <c r="BEC49" s="159"/>
      <c r="BED49" s="159"/>
      <c r="BEE49" s="159"/>
      <c r="BEF49" s="159"/>
      <c r="BEG49" s="159"/>
      <c r="BEH49" s="159"/>
      <c r="BEI49" s="159"/>
      <c r="BEJ49" s="159"/>
      <c r="BEK49" s="159"/>
      <c r="BEL49" s="159"/>
      <c r="BEM49" s="159"/>
      <c r="BEN49" s="159"/>
      <c r="BEO49" s="159"/>
      <c r="BEP49" s="159"/>
      <c r="BEQ49" s="159"/>
      <c r="BER49" s="159"/>
      <c r="BES49" s="159"/>
      <c r="BET49" s="159"/>
      <c r="BEU49" s="159"/>
      <c r="BEV49" s="159"/>
      <c r="BEW49" s="159"/>
      <c r="BEX49" s="159"/>
      <c r="BEY49" s="159"/>
      <c r="BEZ49" s="159"/>
      <c r="BFA49" s="159"/>
      <c r="BFB49" s="159"/>
      <c r="BFC49" s="159"/>
      <c r="BFD49" s="159"/>
      <c r="BFE49" s="159"/>
      <c r="BFF49" s="159"/>
      <c r="BFG49" s="159"/>
      <c r="BFH49" s="159"/>
      <c r="BFI49" s="159"/>
      <c r="BFJ49" s="159"/>
      <c r="BFK49" s="159"/>
      <c r="BFL49" s="159"/>
      <c r="BFM49" s="159"/>
      <c r="BFN49" s="159"/>
      <c r="BFO49" s="159"/>
      <c r="BFP49" s="159"/>
      <c r="BFQ49" s="159"/>
      <c r="BFR49" s="159"/>
      <c r="BFS49" s="159"/>
      <c r="BFT49" s="159"/>
      <c r="BFU49" s="159"/>
      <c r="BFV49" s="159"/>
      <c r="BFW49" s="159"/>
      <c r="BFX49" s="159"/>
      <c r="BFY49" s="159"/>
      <c r="BFZ49" s="159"/>
      <c r="BGA49" s="159"/>
      <c r="BGB49" s="159"/>
      <c r="BGC49" s="159"/>
      <c r="BGD49" s="159"/>
      <c r="BGE49" s="159"/>
      <c r="BGF49" s="159"/>
      <c r="BGG49" s="159"/>
      <c r="BGH49" s="159"/>
      <c r="BGI49" s="159"/>
      <c r="BGJ49" s="159"/>
      <c r="BGK49" s="159"/>
      <c r="BGL49" s="159"/>
      <c r="BGM49" s="159"/>
      <c r="BGN49" s="159"/>
      <c r="BGO49" s="159"/>
      <c r="BGP49" s="159"/>
      <c r="BGQ49" s="159"/>
      <c r="BGR49" s="159"/>
      <c r="BGS49" s="159"/>
      <c r="BGT49" s="159"/>
      <c r="BGU49" s="159"/>
      <c r="BGV49" s="159"/>
      <c r="BGW49" s="159"/>
      <c r="BGX49" s="159"/>
      <c r="BGY49" s="159"/>
      <c r="BGZ49" s="159"/>
      <c r="BHA49" s="159"/>
      <c r="BHB49" s="159"/>
      <c r="BHC49" s="159"/>
      <c r="BHD49" s="159"/>
      <c r="BHE49" s="159"/>
      <c r="BHF49" s="159"/>
      <c r="BHG49" s="159"/>
      <c r="BHH49" s="159"/>
      <c r="BHI49" s="159"/>
      <c r="BHJ49" s="159"/>
      <c r="BHK49" s="159"/>
      <c r="BHL49" s="159"/>
      <c r="BHM49" s="159"/>
      <c r="BHN49" s="159"/>
      <c r="BHO49" s="159"/>
      <c r="BHP49" s="159"/>
      <c r="BHQ49" s="159"/>
      <c r="BHR49" s="159"/>
      <c r="BHS49" s="159"/>
      <c r="BHT49" s="159"/>
      <c r="BHU49" s="159"/>
      <c r="BHV49" s="159"/>
      <c r="BHW49" s="159"/>
      <c r="BHX49" s="159"/>
      <c r="BHY49" s="159"/>
      <c r="BHZ49" s="159"/>
      <c r="BIA49" s="159"/>
      <c r="BIB49" s="159"/>
      <c r="BIC49" s="159"/>
      <c r="BID49" s="159"/>
      <c r="BIE49" s="159"/>
      <c r="BIF49" s="159"/>
      <c r="BIG49" s="159"/>
      <c r="BIH49" s="159"/>
      <c r="BII49" s="159"/>
      <c r="BIJ49" s="159"/>
      <c r="BIK49" s="159"/>
      <c r="BIL49" s="159"/>
      <c r="BIM49" s="159"/>
      <c r="BIN49" s="159"/>
      <c r="BIO49" s="159"/>
      <c r="BIP49" s="159"/>
      <c r="BIQ49" s="159"/>
      <c r="BIR49" s="159"/>
      <c r="BIS49" s="159"/>
      <c r="BIT49" s="159"/>
      <c r="BIU49" s="159"/>
      <c r="BIV49" s="159"/>
      <c r="BIW49" s="159"/>
      <c r="BIX49" s="159"/>
      <c r="BIY49" s="159"/>
      <c r="BIZ49" s="159"/>
      <c r="BJA49" s="159"/>
      <c r="BJB49" s="159"/>
      <c r="BJC49" s="159"/>
      <c r="BJD49" s="159"/>
      <c r="BJE49" s="159"/>
      <c r="BJF49" s="159"/>
      <c r="BJG49" s="159"/>
      <c r="BJH49" s="159"/>
      <c r="BJI49" s="159"/>
      <c r="BJJ49" s="159"/>
      <c r="BJK49" s="159"/>
      <c r="BJL49" s="159"/>
      <c r="BJM49" s="159"/>
      <c r="BJN49" s="159"/>
      <c r="BJO49" s="159"/>
      <c r="BJP49" s="159"/>
      <c r="BJQ49" s="159"/>
      <c r="BJR49" s="159"/>
      <c r="BJS49" s="159"/>
      <c r="BJT49" s="159"/>
      <c r="BJU49" s="159"/>
      <c r="BJV49" s="159"/>
      <c r="BJW49" s="159"/>
      <c r="BJX49" s="159"/>
      <c r="BJY49" s="159"/>
      <c r="BJZ49" s="159"/>
      <c r="BKA49" s="159"/>
      <c r="BKB49" s="159"/>
      <c r="BKC49" s="159"/>
      <c r="BKD49" s="159"/>
      <c r="BKE49" s="159"/>
      <c r="BKF49" s="159"/>
      <c r="BKG49" s="159"/>
      <c r="BKH49" s="159"/>
      <c r="BKI49" s="159"/>
      <c r="BKJ49" s="159"/>
      <c r="BKK49" s="159"/>
      <c r="BKL49" s="159"/>
      <c r="BKM49" s="159"/>
      <c r="BKN49" s="159"/>
      <c r="BKO49" s="159"/>
      <c r="BKP49" s="159"/>
      <c r="BKQ49" s="159"/>
      <c r="BKR49" s="159"/>
      <c r="BKS49" s="159"/>
      <c r="BKT49" s="159"/>
      <c r="BKU49" s="159"/>
      <c r="BKV49" s="159"/>
      <c r="BKW49" s="159"/>
      <c r="BKX49" s="159"/>
      <c r="BKY49" s="159"/>
      <c r="BKZ49" s="159"/>
      <c r="BLA49" s="159"/>
      <c r="BLB49" s="159"/>
      <c r="BLC49" s="159"/>
      <c r="BLD49" s="159"/>
      <c r="BLE49" s="159"/>
      <c r="BLF49" s="159"/>
      <c r="BLG49" s="159"/>
      <c r="BLH49" s="159"/>
      <c r="BLI49" s="159"/>
      <c r="BLJ49" s="159"/>
      <c r="BLK49" s="159"/>
      <c r="BLL49" s="159"/>
      <c r="BLM49" s="159"/>
      <c r="BLN49" s="159"/>
      <c r="BLO49" s="159"/>
      <c r="BLP49" s="159"/>
      <c r="BLQ49" s="159"/>
      <c r="BLR49" s="159"/>
      <c r="BLS49" s="159"/>
      <c r="BLT49" s="159"/>
      <c r="BLU49" s="159"/>
      <c r="BLV49" s="159"/>
      <c r="BLW49" s="159"/>
      <c r="BLX49" s="159"/>
      <c r="BLY49" s="159"/>
      <c r="BLZ49" s="159"/>
      <c r="BMA49" s="159"/>
      <c r="BMB49" s="159"/>
      <c r="BMC49" s="159"/>
      <c r="BMD49" s="159"/>
      <c r="BME49" s="159"/>
      <c r="BMF49" s="159"/>
      <c r="BMG49" s="159"/>
      <c r="BMH49" s="159"/>
      <c r="BMI49" s="159"/>
      <c r="BMJ49" s="159"/>
      <c r="BMK49" s="159"/>
      <c r="BML49" s="159"/>
      <c r="BMM49" s="159"/>
      <c r="BMN49" s="159"/>
      <c r="BMO49" s="159"/>
      <c r="BMP49" s="159"/>
      <c r="BMQ49" s="159"/>
      <c r="BMR49" s="159"/>
      <c r="BMS49" s="159"/>
      <c r="BMT49" s="159"/>
      <c r="BMU49" s="159"/>
      <c r="BMV49" s="159"/>
      <c r="BMW49" s="159"/>
      <c r="BMX49" s="159"/>
      <c r="BMY49" s="159"/>
      <c r="BMZ49" s="159"/>
      <c r="BNA49" s="159"/>
      <c r="BNB49" s="159"/>
      <c r="BNC49" s="159"/>
      <c r="BND49" s="159"/>
      <c r="BNE49" s="159"/>
      <c r="BNF49" s="159"/>
      <c r="BNG49" s="159"/>
      <c r="BNH49" s="159"/>
      <c r="BNI49" s="159"/>
      <c r="BNJ49" s="159"/>
      <c r="BNK49" s="159"/>
      <c r="BNL49" s="159"/>
      <c r="BNM49" s="159"/>
      <c r="BNN49" s="159"/>
      <c r="BNO49" s="159"/>
      <c r="BNP49" s="159"/>
      <c r="BNQ49" s="159"/>
      <c r="BNR49" s="159"/>
      <c r="BNS49" s="159"/>
      <c r="BNT49" s="159"/>
      <c r="BNU49" s="159"/>
      <c r="BNV49" s="159"/>
      <c r="BNW49" s="159"/>
      <c r="BNX49" s="159"/>
      <c r="BNY49" s="159"/>
      <c r="BNZ49" s="159"/>
      <c r="BOA49" s="159"/>
      <c r="BOB49" s="159"/>
      <c r="BOC49" s="159"/>
      <c r="BOD49" s="159"/>
      <c r="BOE49" s="159"/>
      <c r="BOF49" s="159"/>
      <c r="BOG49" s="159"/>
      <c r="BOH49" s="159"/>
      <c r="BOI49" s="159"/>
      <c r="BOJ49" s="159"/>
      <c r="BOK49" s="159"/>
      <c r="BOL49" s="159"/>
      <c r="BOM49" s="159"/>
      <c r="BON49" s="159"/>
      <c r="BOO49" s="159"/>
      <c r="BOP49" s="159"/>
      <c r="BOQ49" s="159"/>
      <c r="BOR49" s="159"/>
      <c r="BOS49" s="159"/>
      <c r="BOT49" s="159"/>
      <c r="BOU49" s="159"/>
      <c r="BOV49" s="159"/>
      <c r="BOW49" s="159"/>
      <c r="BOX49" s="159"/>
      <c r="BOY49" s="159"/>
      <c r="BOZ49" s="159"/>
      <c r="BPA49" s="159"/>
      <c r="BPB49" s="159"/>
      <c r="BPC49" s="159"/>
      <c r="BPD49" s="159"/>
      <c r="BPE49" s="159"/>
      <c r="BPF49" s="159"/>
      <c r="BPG49" s="159"/>
      <c r="BPH49" s="159"/>
      <c r="BPI49" s="159"/>
      <c r="BPJ49" s="159"/>
      <c r="BPK49" s="159"/>
      <c r="BPL49" s="159"/>
      <c r="BPM49" s="159"/>
      <c r="BPN49" s="159"/>
      <c r="BPO49" s="159"/>
      <c r="BPP49" s="159"/>
      <c r="BPQ49" s="159"/>
      <c r="BPR49" s="159"/>
      <c r="BPS49" s="159"/>
      <c r="BPT49" s="159"/>
      <c r="BPU49" s="159"/>
      <c r="BPV49" s="159"/>
      <c r="BPW49" s="159"/>
      <c r="BPX49" s="159"/>
      <c r="BPY49" s="159"/>
      <c r="BPZ49" s="159"/>
      <c r="BQA49" s="159"/>
      <c r="BQB49" s="159"/>
      <c r="BQC49" s="159"/>
      <c r="BQD49" s="159"/>
      <c r="BQE49" s="159"/>
      <c r="BQF49" s="159"/>
      <c r="BQG49" s="159"/>
      <c r="BQH49" s="159"/>
      <c r="BQI49" s="159"/>
      <c r="BQJ49" s="159"/>
      <c r="BQK49" s="159"/>
      <c r="BQL49" s="159"/>
      <c r="BQM49" s="159"/>
      <c r="BQN49" s="159"/>
      <c r="BQO49" s="159"/>
      <c r="BQP49" s="159"/>
      <c r="BQQ49" s="159"/>
      <c r="BQR49" s="159"/>
      <c r="BQS49" s="159"/>
      <c r="BQT49" s="159"/>
      <c r="BQU49" s="159"/>
      <c r="BQV49" s="159"/>
      <c r="BQW49" s="159"/>
      <c r="BQX49" s="159"/>
      <c r="BQY49" s="159"/>
      <c r="BQZ49" s="159"/>
      <c r="BRA49" s="159"/>
      <c r="BRB49" s="159"/>
      <c r="BRC49" s="159"/>
      <c r="BRD49" s="159"/>
      <c r="BRE49" s="159"/>
      <c r="BRF49" s="159"/>
      <c r="BRG49" s="159"/>
      <c r="BRH49" s="159"/>
      <c r="BRI49" s="159"/>
      <c r="BRJ49" s="159"/>
      <c r="BRK49" s="159"/>
      <c r="BRL49" s="159"/>
      <c r="BRM49" s="159"/>
      <c r="BRN49" s="159"/>
      <c r="BRO49" s="159"/>
      <c r="BRP49" s="159"/>
      <c r="BRQ49" s="159"/>
      <c r="BRR49" s="159"/>
      <c r="BRS49" s="159"/>
      <c r="BRT49" s="159"/>
      <c r="BRU49" s="159"/>
      <c r="BRV49" s="159"/>
      <c r="BRW49" s="159"/>
      <c r="BRX49" s="159"/>
      <c r="BRY49" s="159"/>
      <c r="BRZ49" s="159"/>
      <c r="BSA49" s="159"/>
      <c r="BSB49" s="159"/>
      <c r="BSC49" s="159"/>
      <c r="BSD49" s="159"/>
      <c r="BSE49" s="159"/>
      <c r="BSF49" s="159"/>
      <c r="BSG49" s="159"/>
      <c r="BSH49" s="159"/>
      <c r="BSI49" s="159"/>
      <c r="BSJ49" s="159"/>
      <c r="BSK49" s="159"/>
      <c r="BSL49" s="159"/>
      <c r="BSM49" s="159"/>
      <c r="BSN49" s="159"/>
      <c r="BSO49" s="159"/>
      <c r="BSP49" s="159"/>
      <c r="BSQ49" s="159"/>
      <c r="BSR49" s="159"/>
      <c r="BSS49" s="159"/>
      <c r="BST49" s="159"/>
      <c r="BSU49" s="159"/>
      <c r="BSV49" s="159"/>
      <c r="BSW49" s="159"/>
      <c r="BSX49" s="159"/>
      <c r="BSY49" s="159"/>
      <c r="BSZ49" s="159"/>
      <c r="BTA49" s="159"/>
      <c r="BTB49" s="159"/>
      <c r="BTC49" s="159"/>
      <c r="BTD49" s="159"/>
      <c r="BTE49" s="159"/>
      <c r="BTF49" s="159"/>
      <c r="BTG49" s="159"/>
      <c r="BTH49" s="159"/>
      <c r="BTI49" s="159"/>
      <c r="BTJ49" s="159"/>
      <c r="BTK49" s="159"/>
      <c r="BTL49" s="159"/>
      <c r="BTM49" s="159"/>
      <c r="BTN49" s="159"/>
      <c r="BTO49" s="159"/>
      <c r="BTP49" s="159"/>
      <c r="BTQ49" s="159"/>
      <c r="BTR49" s="159"/>
      <c r="BTS49" s="159"/>
      <c r="BTT49" s="159"/>
      <c r="BTU49" s="159"/>
      <c r="BTV49" s="159"/>
      <c r="BTW49" s="159"/>
      <c r="BTX49" s="159"/>
      <c r="BTY49" s="159"/>
      <c r="BTZ49" s="159"/>
      <c r="BUA49" s="159"/>
      <c r="BUB49" s="159"/>
      <c r="BUC49" s="159"/>
      <c r="BUD49" s="159"/>
      <c r="BUE49" s="159"/>
      <c r="BUF49" s="159"/>
      <c r="BUG49" s="159"/>
      <c r="BUH49" s="159"/>
      <c r="BUI49" s="159"/>
      <c r="BUJ49" s="159"/>
      <c r="BUK49" s="159"/>
      <c r="BUL49" s="159"/>
      <c r="BUM49" s="159"/>
      <c r="BUN49" s="159"/>
      <c r="BUO49" s="159"/>
      <c r="BUP49" s="159"/>
      <c r="BUQ49" s="159"/>
      <c r="BUR49" s="159"/>
      <c r="BUS49" s="159"/>
      <c r="BUT49" s="159"/>
      <c r="BUU49" s="159"/>
      <c r="BUV49" s="159"/>
      <c r="BUW49" s="159"/>
      <c r="BUX49" s="159"/>
      <c r="BUY49" s="159"/>
      <c r="BUZ49" s="159"/>
      <c r="BVA49" s="159"/>
      <c r="BVB49" s="159"/>
      <c r="BVC49" s="159"/>
      <c r="BVD49" s="159"/>
      <c r="BVE49" s="159"/>
      <c r="BVF49" s="159"/>
      <c r="BVG49" s="159"/>
      <c r="BVH49" s="159"/>
      <c r="BVI49" s="159"/>
      <c r="BVJ49" s="159"/>
      <c r="BVK49" s="159"/>
      <c r="BVL49" s="159"/>
      <c r="BVM49" s="159"/>
      <c r="BVN49" s="159"/>
      <c r="BVO49" s="159"/>
      <c r="BVP49" s="159"/>
      <c r="BVQ49" s="159"/>
      <c r="BVR49" s="159"/>
      <c r="BVS49" s="159"/>
      <c r="BVT49" s="159"/>
      <c r="BVU49" s="159"/>
      <c r="BVV49" s="159"/>
      <c r="BVW49" s="159"/>
      <c r="BVX49" s="159"/>
      <c r="BVY49" s="159"/>
      <c r="BVZ49" s="159"/>
      <c r="BWA49" s="159"/>
      <c r="BWB49" s="159"/>
      <c r="BWC49" s="159"/>
      <c r="BWD49" s="159"/>
      <c r="BWE49" s="159"/>
      <c r="BWF49" s="159"/>
      <c r="BWG49" s="159"/>
      <c r="BWH49" s="159"/>
      <c r="BWI49" s="159"/>
      <c r="BWJ49" s="159"/>
      <c r="BWK49" s="159"/>
      <c r="BWL49" s="159"/>
      <c r="BWM49" s="159"/>
      <c r="BWN49" s="159"/>
      <c r="BWO49" s="159"/>
      <c r="BWP49" s="159"/>
      <c r="BWQ49" s="159"/>
      <c r="BWR49" s="159"/>
      <c r="BWS49" s="159"/>
      <c r="BWT49" s="159"/>
      <c r="BWU49" s="159"/>
      <c r="BWV49" s="159"/>
      <c r="BWW49" s="159"/>
      <c r="BWX49" s="159"/>
      <c r="BWY49" s="159"/>
      <c r="BWZ49" s="159"/>
      <c r="BXA49" s="159"/>
      <c r="BXB49" s="159"/>
      <c r="BXC49" s="159"/>
      <c r="BXD49" s="159"/>
      <c r="BXE49" s="159"/>
      <c r="BXF49" s="159"/>
      <c r="BXG49" s="159"/>
      <c r="BXH49" s="159"/>
      <c r="BXI49" s="159"/>
      <c r="BXJ49" s="159"/>
      <c r="BXK49" s="159"/>
      <c r="BXL49" s="159"/>
      <c r="BXM49" s="159"/>
      <c r="BXN49" s="159"/>
      <c r="BXO49" s="159"/>
      <c r="BXP49" s="159"/>
      <c r="BXQ49" s="159"/>
      <c r="BXR49" s="159"/>
      <c r="BXS49" s="159"/>
      <c r="BXT49" s="159"/>
      <c r="BXU49" s="159"/>
      <c r="BXV49" s="159"/>
      <c r="BXW49" s="159"/>
      <c r="BXX49" s="159"/>
      <c r="BXY49" s="159"/>
      <c r="BXZ49" s="159"/>
      <c r="BYA49" s="159"/>
      <c r="BYB49" s="159"/>
      <c r="BYC49" s="159"/>
      <c r="BYD49" s="159"/>
      <c r="BYE49" s="159"/>
      <c r="BYF49" s="159"/>
      <c r="BYG49" s="159"/>
      <c r="BYH49" s="159"/>
      <c r="BYI49" s="159"/>
      <c r="BYJ49" s="159"/>
      <c r="BYK49" s="159"/>
      <c r="BYL49" s="159"/>
      <c r="BYM49" s="159"/>
      <c r="BYN49" s="159"/>
      <c r="BYO49" s="159"/>
      <c r="BYP49" s="159"/>
      <c r="BYQ49" s="159"/>
      <c r="BYR49" s="159"/>
      <c r="BYS49" s="159"/>
      <c r="BYT49" s="159"/>
      <c r="BYU49" s="159"/>
      <c r="BYV49" s="159"/>
      <c r="BYW49" s="159"/>
      <c r="BYX49" s="159"/>
      <c r="BYY49" s="159"/>
      <c r="BYZ49" s="159"/>
      <c r="BZA49" s="159"/>
      <c r="BZB49" s="159"/>
      <c r="BZC49" s="159"/>
      <c r="BZD49" s="159"/>
      <c r="BZE49" s="159"/>
      <c r="BZF49" s="159"/>
      <c r="BZG49" s="159"/>
      <c r="BZH49" s="159"/>
      <c r="BZI49" s="159"/>
      <c r="BZJ49" s="159"/>
      <c r="BZK49" s="159"/>
      <c r="BZL49" s="159"/>
      <c r="BZM49" s="159"/>
      <c r="BZN49" s="159"/>
      <c r="BZO49" s="159"/>
      <c r="BZP49" s="159"/>
      <c r="BZQ49" s="159"/>
      <c r="BZR49" s="159"/>
      <c r="BZS49" s="159"/>
      <c r="BZT49" s="159"/>
      <c r="BZU49" s="159"/>
      <c r="BZV49" s="159"/>
      <c r="BZW49" s="159"/>
      <c r="BZX49" s="159"/>
      <c r="BZY49" s="159"/>
      <c r="BZZ49" s="159"/>
      <c r="CAA49" s="159"/>
      <c r="CAB49" s="159"/>
      <c r="CAC49" s="159"/>
      <c r="CAD49" s="159"/>
      <c r="CAE49" s="159"/>
      <c r="CAF49" s="159"/>
      <c r="CAG49" s="159"/>
      <c r="CAH49" s="159"/>
      <c r="CAI49" s="159"/>
      <c r="CAJ49" s="159"/>
      <c r="CAK49" s="159"/>
      <c r="CAL49" s="159"/>
      <c r="CAM49" s="159"/>
      <c r="CAN49" s="159"/>
      <c r="CAO49" s="159"/>
      <c r="CAP49" s="159"/>
      <c r="CAQ49" s="159"/>
      <c r="CAR49" s="159"/>
      <c r="CAS49" s="159"/>
      <c r="CAT49" s="159"/>
      <c r="CAU49" s="159"/>
      <c r="CAV49" s="159"/>
      <c r="CAW49" s="159"/>
      <c r="CAX49" s="159"/>
      <c r="CAY49" s="159"/>
      <c r="CAZ49" s="159"/>
      <c r="CBA49" s="159"/>
      <c r="CBB49" s="159"/>
      <c r="CBC49" s="159"/>
      <c r="CBD49" s="159"/>
      <c r="CBE49" s="159"/>
      <c r="CBF49" s="159"/>
      <c r="CBG49" s="159"/>
      <c r="CBH49" s="159"/>
      <c r="CBI49" s="159"/>
      <c r="CBJ49" s="159"/>
      <c r="CBK49" s="159"/>
      <c r="CBL49" s="159"/>
      <c r="CBM49" s="159"/>
      <c r="CBN49" s="159"/>
      <c r="CBO49" s="159"/>
      <c r="CBP49" s="159"/>
      <c r="CBQ49" s="159"/>
      <c r="CBR49" s="159"/>
      <c r="CBS49" s="159"/>
      <c r="CBT49" s="159"/>
      <c r="CBU49" s="159"/>
      <c r="CBV49" s="159"/>
      <c r="CBW49" s="159"/>
      <c r="CBX49" s="159"/>
      <c r="CBY49" s="159"/>
      <c r="CBZ49" s="159"/>
      <c r="CCA49" s="159"/>
      <c r="CCB49" s="159"/>
      <c r="CCC49" s="159"/>
      <c r="CCD49" s="159"/>
      <c r="CCE49" s="159"/>
      <c r="CCF49" s="159"/>
      <c r="CCG49" s="159"/>
      <c r="CCH49" s="159"/>
      <c r="CCI49" s="159"/>
      <c r="CCJ49" s="159"/>
      <c r="CCK49" s="159"/>
      <c r="CCL49" s="159"/>
      <c r="CCM49" s="159"/>
      <c r="CCN49" s="159"/>
      <c r="CCO49" s="159"/>
      <c r="CCP49" s="159"/>
      <c r="CCQ49" s="159"/>
      <c r="CCR49" s="159"/>
      <c r="CCS49" s="159"/>
      <c r="CCT49" s="159"/>
      <c r="CCU49" s="159"/>
      <c r="CCV49" s="159"/>
      <c r="CCW49" s="159"/>
      <c r="CCX49" s="159"/>
      <c r="CCY49" s="159"/>
      <c r="CCZ49" s="159"/>
      <c r="CDA49" s="159"/>
      <c r="CDB49" s="159"/>
      <c r="CDC49" s="159"/>
      <c r="CDD49" s="159"/>
      <c r="CDE49" s="159"/>
      <c r="CDF49" s="159"/>
      <c r="CDG49" s="159"/>
      <c r="CDH49" s="159"/>
      <c r="CDI49" s="159"/>
      <c r="CDJ49" s="159"/>
      <c r="CDK49" s="159"/>
      <c r="CDL49" s="159"/>
      <c r="CDM49" s="159"/>
      <c r="CDN49" s="159"/>
      <c r="CDO49" s="159"/>
      <c r="CDP49" s="159"/>
      <c r="CDQ49" s="159"/>
      <c r="CDR49" s="159"/>
      <c r="CDS49" s="159"/>
      <c r="CDT49" s="159"/>
      <c r="CDU49" s="159"/>
      <c r="CDV49" s="159"/>
      <c r="CDW49" s="159"/>
      <c r="CDX49" s="159"/>
      <c r="CDY49" s="159"/>
      <c r="CDZ49" s="159"/>
      <c r="CEA49" s="159"/>
      <c r="CEB49" s="159"/>
      <c r="CEC49" s="159"/>
      <c r="CED49" s="159"/>
      <c r="CEE49" s="159"/>
      <c r="CEF49" s="159"/>
      <c r="CEG49" s="159"/>
      <c r="CEH49" s="159"/>
      <c r="CEI49" s="159"/>
      <c r="CEJ49" s="159"/>
      <c r="CEK49" s="159"/>
      <c r="CEL49" s="159"/>
      <c r="CEM49" s="159"/>
      <c r="CEN49" s="159"/>
      <c r="CEO49" s="159"/>
      <c r="CEP49" s="159"/>
      <c r="CEQ49" s="159"/>
      <c r="CER49" s="159"/>
      <c r="CES49" s="159"/>
      <c r="CET49" s="159"/>
      <c r="CEU49" s="159"/>
      <c r="CEV49" s="159"/>
      <c r="CEW49" s="159"/>
      <c r="CEX49" s="159"/>
      <c r="CEY49" s="159"/>
      <c r="CEZ49" s="159"/>
      <c r="CFA49" s="159"/>
      <c r="CFB49" s="159"/>
      <c r="CFC49" s="159"/>
      <c r="CFD49" s="159"/>
      <c r="CFE49" s="159"/>
      <c r="CFF49" s="159"/>
      <c r="CFG49" s="159"/>
      <c r="CFH49" s="159"/>
      <c r="CFI49" s="159"/>
      <c r="CFJ49" s="159"/>
      <c r="CFK49" s="159"/>
      <c r="CFL49" s="159"/>
      <c r="CFM49" s="159"/>
      <c r="CFN49" s="159"/>
      <c r="CFO49" s="159"/>
      <c r="CFP49" s="159"/>
      <c r="CFQ49" s="159"/>
      <c r="CFR49" s="159"/>
      <c r="CFS49" s="159"/>
      <c r="CFT49" s="159"/>
      <c r="CFU49" s="159"/>
      <c r="CFV49" s="159"/>
      <c r="CFW49" s="159"/>
      <c r="CFX49" s="159"/>
      <c r="CFY49" s="159"/>
      <c r="CFZ49" s="159"/>
      <c r="CGA49" s="159"/>
      <c r="CGB49" s="159"/>
      <c r="CGC49" s="159"/>
      <c r="CGD49" s="159"/>
      <c r="CGE49" s="159"/>
      <c r="CGF49" s="159"/>
      <c r="CGG49" s="159"/>
      <c r="CGH49" s="159"/>
      <c r="CGI49" s="159"/>
      <c r="CGJ49" s="159"/>
      <c r="CGK49" s="159"/>
      <c r="CGL49" s="159"/>
      <c r="CGM49" s="159"/>
      <c r="CGN49" s="159"/>
      <c r="CGO49" s="159"/>
      <c r="CGP49" s="159"/>
      <c r="CGQ49" s="159"/>
      <c r="CGR49" s="159"/>
      <c r="CGS49" s="159"/>
      <c r="CGT49" s="159"/>
      <c r="CGU49" s="159"/>
      <c r="CGV49" s="159"/>
      <c r="CGW49" s="159"/>
      <c r="CGX49" s="159"/>
      <c r="CGY49" s="159"/>
      <c r="CGZ49" s="159"/>
      <c r="CHA49" s="159"/>
      <c r="CHB49" s="159"/>
      <c r="CHC49" s="159"/>
      <c r="CHD49" s="159"/>
      <c r="CHE49" s="159"/>
      <c r="CHF49" s="159"/>
      <c r="CHG49" s="159"/>
      <c r="CHH49" s="159"/>
      <c r="CHI49" s="159"/>
      <c r="CHJ49" s="159"/>
      <c r="CHK49" s="159"/>
      <c r="CHL49" s="159"/>
      <c r="CHM49" s="159"/>
      <c r="CHN49" s="159"/>
      <c r="CHO49" s="159"/>
      <c r="CHP49" s="159"/>
      <c r="CHQ49" s="159"/>
      <c r="CHR49" s="159"/>
      <c r="CHS49" s="159"/>
      <c r="CHT49" s="159"/>
      <c r="CHU49" s="159"/>
      <c r="CHV49" s="159"/>
      <c r="CHW49" s="159"/>
      <c r="CHX49" s="159"/>
      <c r="CHY49" s="159"/>
      <c r="CHZ49" s="159"/>
      <c r="CIA49" s="159"/>
      <c r="CIB49" s="159"/>
      <c r="CIC49" s="159"/>
      <c r="CID49" s="159"/>
      <c r="CIE49" s="159"/>
      <c r="CIF49" s="159"/>
      <c r="CIG49" s="159"/>
      <c r="CIH49" s="159"/>
      <c r="CII49" s="159"/>
      <c r="CIJ49" s="159"/>
      <c r="CIK49" s="159"/>
      <c r="CIL49" s="159"/>
      <c r="CIM49" s="159"/>
      <c r="CIN49" s="159"/>
      <c r="CIO49" s="159"/>
      <c r="CIP49" s="159"/>
      <c r="CIQ49" s="159"/>
      <c r="CIR49" s="159"/>
      <c r="CIS49" s="159"/>
      <c r="CIT49" s="159"/>
      <c r="CIU49" s="159"/>
      <c r="CIV49" s="159"/>
      <c r="CIW49" s="159"/>
      <c r="CIX49" s="159"/>
      <c r="CIY49" s="159"/>
      <c r="CIZ49" s="159"/>
      <c r="CJA49" s="159"/>
      <c r="CJB49" s="159"/>
      <c r="CJC49" s="159"/>
      <c r="CJD49" s="159"/>
      <c r="CJE49" s="159"/>
      <c r="CJF49" s="159"/>
      <c r="CJG49" s="159"/>
      <c r="CJH49" s="159"/>
      <c r="CJI49" s="159"/>
      <c r="CJJ49" s="159"/>
      <c r="CJK49" s="159"/>
      <c r="CJL49" s="159"/>
      <c r="CJM49" s="159"/>
      <c r="CJN49" s="159"/>
      <c r="CJO49" s="159"/>
      <c r="CJP49" s="159"/>
      <c r="CJQ49" s="159"/>
      <c r="CJR49" s="159"/>
      <c r="CJS49" s="159"/>
      <c r="CJT49" s="159"/>
      <c r="CJU49" s="159"/>
      <c r="CJV49" s="159"/>
      <c r="CJW49" s="159"/>
      <c r="CJX49" s="159"/>
      <c r="CJY49" s="159"/>
      <c r="CJZ49" s="159"/>
      <c r="CKA49" s="159"/>
      <c r="CKB49" s="159"/>
      <c r="CKC49" s="159"/>
      <c r="CKD49" s="159"/>
      <c r="CKE49" s="159"/>
      <c r="CKF49" s="159"/>
      <c r="CKG49" s="159"/>
      <c r="CKH49" s="159"/>
      <c r="CKI49" s="159"/>
      <c r="CKJ49" s="159"/>
      <c r="CKK49" s="159"/>
      <c r="CKL49" s="159"/>
      <c r="CKM49" s="159"/>
      <c r="CKN49" s="159"/>
      <c r="CKO49" s="159"/>
      <c r="CKP49" s="159"/>
      <c r="CKQ49" s="159"/>
      <c r="CKR49" s="159"/>
      <c r="CKS49" s="159"/>
      <c r="CKT49" s="159"/>
      <c r="CKU49" s="159"/>
      <c r="CKV49" s="159"/>
      <c r="CKW49" s="159"/>
      <c r="CKX49" s="159"/>
      <c r="CKY49" s="159"/>
      <c r="CKZ49" s="159"/>
      <c r="CLA49" s="159"/>
      <c r="CLB49" s="159"/>
      <c r="CLC49" s="159"/>
      <c r="CLD49" s="159"/>
      <c r="CLE49" s="159"/>
      <c r="CLF49" s="159"/>
      <c r="CLG49" s="159"/>
      <c r="CLH49" s="159"/>
      <c r="CLI49" s="159"/>
      <c r="CLJ49" s="159"/>
      <c r="CLK49" s="159"/>
      <c r="CLL49" s="159"/>
      <c r="CLM49" s="159"/>
      <c r="CLN49" s="159"/>
      <c r="CLO49" s="159"/>
      <c r="CLP49" s="159"/>
      <c r="CLQ49" s="159"/>
      <c r="CLR49" s="159"/>
      <c r="CLS49" s="159"/>
      <c r="CLT49" s="159"/>
      <c r="CLU49" s="159"/>
      <c r="CLV49" s="159"/>
      <c r="CLW49" s="159"/>
      <c r="CLX49" s="159"/>
      <c r="CLY49" s="159"/>
      <c r="CLZ49" s="159"/>
      <c r="CMA49" s="159"/>
      <c r="CMB49" s="159"/>
      <c r="CMC49" s="159"/>
      <c r="CMD49" s="159"/>
      <c r="CME49" s="159"/>
      <c r="CMF49" s="159"/>
      <c r="CMG49" s="159"/>
      <c r="CMH49" s="159"/>
      <c r="CMI49" s="159"/>
      <c r="CMJ49" s="159"/>
      <c r="CMK49" s="159"/>
      <c r="CML49" s="159"/>
      <c r="CMM49" s="159"/>
      <c r="CMN49" s="159"/>
      <c r="CMO49" s="159"/>
      <c r="CMP49" s="159"/>
      <c r="CMQ49" s="159"/>
      <c r="CMR49" s="159"/>
      <c r="CMS49" s="159"/>
      <c r="CMT49" s="159"/>
      <c r="CMU49" s="159"/>
      <c r="CMV49" s="159"/>
      <c r="CMW49" s="159"/>
      <c r="CMX49" s="159"/>
      <c r="CMY49" s="159"/>
      <c r="CMZ49" s="159"/>
      <c r="CNA49" s="159"/>
      <c r="CNB49" s="159"/>
      <c r="CNC49" s="159"/>
      <c r="CND49" s="159"/>
      <c r="CNE49" s="159"/>
      <c r="CNF49" s="159"/>
      <c r="CNG49" s="159"/>
      <c r="CNH49" s="159"/>
      <c r="CNI49" s="159"/>
      <c r="CNJ49" s="159"/>
      <c r="CNK49" s="159"/>
      <c r="CNL49" s="159"/>
      <c r="CNM49" s="159"/>
      <c r="CNN49" s="159"/>
      <c r="CNO49" s="159"/>
      <c r="CNP49" s="159"/>
      <c r="CNQ49" s="159"/>
      <c r="CNR49" s="159"/>
      <c r="CNS49" s="159"/>
      <c r="CNT49" s="159"/>
      <c r="CNU49" s="159"/>
      <c r="CNV49" s="159"/>
      <c r="CNW49" s="159"/>
      <c r="CNX49" s="159"/>
      <c r="CNY49" s="159"/>
      <c r="CNZ49" s="159"/>
      <c r="COA49" s="159"/>
      <c r="COB49" s="159"/>
      <c r="COC49" s="159"/>
      <c r="COD49" s="159"/>
      <c r="COE49" s="159"/>
      <c r="COF49" s="159"/>
      <c r="COG49" s="159"/>
      <c r="COH49" s="159"/>
      <c r="COI49" s="159"/>
      <c r="COJ49" s="159"/>
      <c r="COK49" s="159"/>
      <c r="COL49" s="159"/>
      <c r="COM49" s="159"/>
      <c r="CON49" s="159"/>
      <c r="COO49" s="159"/>
      <c r="COP49" s="159"/>
      <c r="COQ49" s="159"/>
      <c r="COR49" s="159"/>
      <c r="COS49" s="159"/>
      <c r="COT49" s="159"/>
      <c r="COU49" s="159"/>
      <c r="COV49" s="159"/>
      <c r="COW49" s="159"/>
      <c r="COX49" s="159"/>
      <c r="COY49" s="159"/>
      <c r="COZ49" s="159"/>
      <c r="CPA49" s="159"/>
      <c r="CPB49" s="159"/>
      <c r="CPC49" s="159"/>
      <c r="CPD49" s="159"/>
      <c r="CPE49" s="159"/>
      <c r="CPF49" s="159"/>
      <c r="CPG49" s="159"/>
      <c r="CPH49" s="159"/>
      <c r="CPI49" s="159"/>
      <c r="CPJ49" s="159"/>
      <c r="CPK49" s="159"/>
      <c r="CPL49" s="159"/>
      <c r="CPM49" s="159"/>
      <c r="CPN49" s="159"/>
      <c r="CPO49" s="159"/>
      <c r="CPP49" s="159"/>
      <c r="CPQ49" s="159"/>
      <c r="CPR49" s="159"/>
      <c r="CPS49" s="159"/>
      <c r="CPT49" s="159"/>
      <c r="CPU49" s="159"/>
      <c r="CPV49" s="159"/>
      <c r="CPW49" s="159"/>
      <c r="CPX49" s="159"/>
      <c r="CPY49" s="159"/>
      <c r="CPZ49" s="159"/>
      <c r="CQA49" s="159"/>
      <c r="CQB49" s="159"/>
      <c r="CQC49" s="159"/>
      <c r="CQD49" s="159"/>
      <c r="CQE49" s="159"/>
      <c r="CQF49" s="159"/>
      <c r="CQG49" s="159"/>
      <c r="CQH49" s="159"/>
      <c r="CQI49" s="159"/>
      <c r="CQJ49" s="159"/>
      <c r="CQK49" s="159"/>
      <c r="CQL49" s="159"/>
      <c r="CQM49" s="159"/>
      <c r="CQN49" s="159"/>
      <c r="CQO49" s="159"/>
      <c r="CQP49" s="159"/>
      <c r="CQQ49" s="159"/>
      <c r="CQR49" s="159"/>
      <c r="CQS49" s="159"/>
      <c r="CQT49" s="159"/>
      <c r="CQU49" s="159"/>
      <c r="CQV49" s="159"/>
      <c r="CQW49" s="159"/>
      <c r="CQX49" s="159"/>
      <c r="CQY49" s="159"/>
      <c r="CQZ49" s="159"/>
      <c r="CRA49" s="159"/>
      <c r="CRB49" s="159"/>
      <c r="CRC49" s="159"/>
      <c r="CRD49" s="159"/>
      <c r="CRE49" s="159"/>
      <c r="CRF49" s="159"/>
      <c r="CRG49" s="159"/>
      <c r="CRH49" s="159"/>
      <c r="CRI49" s="159"/>
      <c r="CRJ49" s="159"/>
      <c r="CRK49" s="159"/>
      <c r="CRL49" s="159"/>
      <c r="CRM49" s="159"/>
      <c r="CRN49" s="159"/>
      <c r="CRO49" s="159"/>
      <c r="CRP49" s="159"/>
      <c r="CRQ49" s="159"/>
      <c r="CRR49" s="159"/>
      <c r="CRS49" s="159"/>
      <c r="CRT49" s="159"/>
      <c r="CRU49" s="159"/>
      <c r="CRV49" s="159"/>
      <c r="CRW49" s="159"/>
      <c r="CRX49" s="159"/>
      <c r="CRY49" s="159"/>
      <c r="CRZ49" s="159"/>
      <c r="CSA49" s="159"/>
      <c r="CSB49" s="159"/>
      <c r="CSC49" s="159"/>
      <c r="CSD49" s="159"/>
      <c r="CSE49" s="159"/>
      <c r="CSF49" s="159"/>
      <c r="CSG49" s="159"/>
      <c r="CSH49" s="159"/>
      <c r="CSI49" s="159"/>
      <c r="CSJ49" s="159"/>
      <c r="CSK49" s="159"/>
      <c r="CSL49" s="159"/>
      <c r="CSM49" s="159"/>
      <c r="CSN49" s="159"/>
      <c r="CSO49" s="159"/>
      <c r="CSP49" s="159"/>
      <c r="CSQ49" s="159"/>
      <c r="CSR49" s="159"/>
      <c r="CSS49" s="159"/>
      <c r="CST49" s="159"/>
      <c r="CSU49" s="159"/>
      <c r="CSV49" s="159"/>
      <c r="CSW49" s="159"/>
      <c r="CSX49" s="159"/>
      <c r="CSY49" s="159"/>
      <c r="CSZ49" s="159"/>
      <c r="CTA49" s="159"/>
      <c r="CTB49" s="159"/>
      <c r="CTC49" s="159"/>
      <c r="CTD49" s="159"/>
      <c r="CTE49" s="159"/>
      <c r="CTF49" s="159"/>
      <c r="CTG49" s="159"/>
      <c r="CTH49" s="159"/>
      <c r="CTI49" s="159"/>
      <c r="CTJ49" s="159"/>
      <c r="CTK49" s="159"/>
      <c r="CTL49" s="159"/>
      <c r="CTM49" s="159"/>
      <c r="CTN49" s="159"/>
      <c r="CTO49" s="159"/>
      <c r="CTP49" s="159"/>
      <c r="CTQ49" s="159"/>
      <c r="CTR49" s="159"/>
      <c r="CTS49" s="159"/>
      <c r="CTT49" s="159"/>
      <c r="CTU49" s="159"/>
      <c r="CTV49" s="159"/>
      <c r="CTW49" s="159"/>
      <c r="CTX49" s="159"/>
      <c r="CTY49" s="159"/>
      <c r="CTZ49" s="159"/>
      <c r="CUA49" s="159"/>
      <c r="CUB49" s="159"/>
      <c r="CUC49" s="159"/>
      <c r="CUD49" s="159"/>
      <c r="CUE49" s="159"/>
      <c r="CUF49" s="159"/>
      <c r="CUG49" s="159"/>
      <c r="CUH49" s="159"/>
      <c r="CUI49" s="159"/>
      <c r="CUJ49" s="159"/>
      <c r="CUK49" s="159"/>
      <c r="CUL49" s="159"/>
      <c r="CUM49" s="159"/>
      <c r="CUN49" s="159"/>
      <c r="CUO49" s="159"/>
      <c r="CUP49" s="159"/>
      <c r="CUQ49" s="159"/>
      <c r="CUR49" s="159"/>
      <c r="CUS49" s="159"/>
      <c r="CUT49" s="159"/>
      <c r="CUU49" s="159"/>
      <c r="CUV49" s="159"/>
      <c r="CUW49" s="159"/>
      <c r="CUX49" s="159"/>
      <c r="CUY49" s="159"/>
      <c r="CUZ49" s="159"/>
      <c r="CVA49" s="159"/>
      <c r="CVB49" s="159"/>
      <c r="CVC49" s="159"/>
      <c r="CVD49" s="159"/>
      <c r="CVE49" s="159"/>
      <c r="CVF49" s="159"/>
      <c r="CVG49" s="159"/>
      <c r="CVH49" s="159"/>
      <c r="CVI49" s="159"/>
      <c r="CVJ49" s="159"/>
      <c r="CVK49" s="159"/>
      <c r="CVL49" s="159"/>
      <c r="CVM49" s="159"/>
      <c r="CVN49" s="159"/>
      <c r="CVO49" s="159"/>
      <c r="CVP49" s="159"/>
      <c r="CVQ49" s="159"/>
      <c r="CVR49" s="159"/>
      <c r="CVS49" s="159"/>
      <c r="CVT49" s="159"/>
      <c r="CVU49" s="159"/>
      <c r="CVV49" s="159"/>
      <c r="CVW49" s="159"/>
      <c r="CVX49" s="159"/>
      <c r="CVY49" s="159"/>
      <c r="CVZ49" s="159"/>
      <c r="CWA49" s="159"/>
      <c r="CWB49" s="159"/>
      <c r="CWC49" s="159"/>
      <c r="CWD49" s="159"/>
      <c r="CWE49" s="159"/>
      <c r="CWF49" s="159"/>
      <c r="CWG49" s="159"/>
      <c r="CWH49" s="159"/>
      <c r="CWI49" s="159"/>
      <c r="CWJ49" s="159"/>
      <c r="CWK49" s="159"/>
      <c r="CWL49" s="159"/>
      <c r="CWM49" s="159"/>
      <c r="CWN49" s="159"/>
      <c r="CWO49" s="159"/>
      <c r="CWP49" s="159"/>
      <c r="CWQ49" s="159"/>
      <c r="CWR49" s="159"/>
      <c r="CWS49" s="159"/>
      <c r="CWT49" s="159"/>
      <c r="CWU49" s="159"/>
      <c r="CWV49" s="159"/>
      <c r="CWW49" s="159"/>
      <c r="CWX49" s="159"/>
      <c r="CWY49" s="159"/>
      <c r="CWZ49" s="159"/>
      <c r="CXA49" s="159"/>
      <c r="CXB49" s="159"/>
      <c r="CXC49" s="159"/>
      <c r="CXD49" s="159"/>
      <c r="CXE49" s="159"/>
      <c r="CXF49" s="159"/>
      <c r="CXG49" s="159"/>
      <c r="CXH49" s="159"/>
      <c r="CXI49" s="159"/>
      <c r="CXJ49" s="159"/>
      <c r="CXK49" s="159"/>
      <c r="CXL49" s="159"/>
      <c r="CXM49" s="159"/>
      <c r="CXN49" s="159"/>
      <c r="CXO49" s="159"/>
      <c r="CXP49" s="159"/>
      <c r="CXQ49" s="159"/>
      <c r="CXR49" s="159"/>
      <c r="CXS49" s="159"/>
      <c r="CXT49" s="159"/>
      <c r="CXU49" s="159"/>
      <c r="CXV49" s="159"/>
      <c r="CXW49" s="159"/>
      <c r="CXX49" s="159"/>
      <c r="CXY49" s="159"/>
      <c r="CXZ49" s="159"/>
      <c r="CYA49" s="159"/>
      <c r="CYB49" s="159"/>
      <c r="CYC49" s="159"/>
      <c r="CYD49" s="159"/>
      <c r="CYE49" s="159"/>
      <c r="CYF49" s="159"/>
      <c r="CYG49" s="159"/>
      <c r="CYH49" s="159"/>
      <c r="CYI49" s="159"/>
      <c r="CYJ49" s="159"/>
      <c r="CYK49" s="159"/>
      <c r="CYL49" s="159"/>
      <c r="CYM49" s="159"/>
      <c r="CYN49" s="159"/>
      <c r="CYO49" s="159"/>
      <c r="CYP49" s="159"/>
      <c r="CYQ49" s="159"/>
      <c r="CYR49" s="159"/>
      <c r="CYS49" s="159"/>
      <c r="CYT49" s="159"/>
      <c r="CYU49" s="159"/>
      <c r="CYV49" s="159"/>
      <c r="CYW49" s="159"/>
      <c r="CYX49" s="159"/>
      <c r="CYY49" s="159"/>
      <c r="CYZ49" s="159"/>
      <c r="CZA49" s="159"/>
      <c r="CZB49" s="159"/>
      <c r="CZC49" s="159"/>
      <c r="CZD49" s="159"/>
      <c r="CZE49" s="159"/>
      <c r="CZF49" s="159"/>
      <c r="CZG49" s="159"/>
      <c r="CZH49" s="159"/>
      <c r="CZI49" s="159"/>
      <c r="CZJ49" s="159"/>
      <c r="CZK49" s="159"/>
      <c r="CZL49" s="159"/>
      <c r="CZM49" s="159"/>
      <c r="CZN49" s="159"/>
      <c r="CZO49" s="159"/>
      <c r="CZP49" s="159"/>
      <c r="CZQ49" s="159"/>
      <c r="CZR49" s="159"/>
      <c r="CZS49" s="159"/>
      <c r="CZT49" s="159"/>
      <c r="CZU49" s="159"/>
      <c r="CZV49" s="159"/>
      <c r="CZW49" s="159"/>
      <c r="CZX49" s="159"/>
      <c r="CZY49" s="159"/>
      <c r="CZZ49" s="159"/>
      <c r="DAA49" s="159"/>
      <c r="DAB49" s="159"/>
      <c r="DAC49" s="159"/>
      <c r="DAD49" s="159"/>
      <c r="DAE49" s="159"/>
      <c r="DAF49" s="159"/>
      <c r="DAG49" s="159"/>
      <c r="DAH49" s="159"/>
      <c r="DAI49" s="159"/>
      <c r="DAJ49" s="159"/>
      <c r="DAK49" s="159"/>
      <c r="DAL49" s="159"/>
      <c r="DAM49" s="159"/>
      <c r="DAN49" s="159"/>
      <c r="DAO49" s="159"/>
      <c r="DAP49" s="159"/>
      <c r="DAQ49" s="159"/>
      <c r="DAR49" s="159"/>
      <c r="DAS49" s="159"/>
      <c r="DAT49" s="159"/>
      <c r="DAU49" s="159"/>
      <c r="DAV49" s="159"/>
      <c r="DAW49" s="159"/>
      <c r="DAX49" s="159"/>
      <c r="DAY49" s="159"/>
      <c r="DAZ49" s="159"/>
      <c r="DBA49" s="159"/>
      <c r="DBB49" s="159"/>
      <c r="DBC49" s="159"/>
      <c r="DBD49" s="159"/>
      <c r="DBE49" s="159"/>
      <c r="DBF49" s="159"/>
      <c r="DBG49" s="159"/>
      <c r="DBH49" s="159"/>
      <c r="DBI49" s="159"/>
      <c r="DBJ49" s="159"/>
      <c r="DBK49" s="159"/>
      <c r="DBL49" s="159"/>
      <c r="DBM49" s="159"/>
      <c r="DBN49" s="159"/>
      <c r="DBO49" s="159"/>
      <c r="DBP49" s="159"/>
      <c r="DBQ49" s="159"/>
      <c r="DBR49" s="159"/>
      <c r="DBS49" s="159"/>
      <c r="DBT49" s="159"/>
      <c r="DBU49" s="159"/>
      <c r="DBV49" s="159"/>
      <c r="DBW49" s="159"/>
      <c r="DBX49" s="159"/>
      <c r="DBY49" s="159"/>
      <c r="DBZ49" s="159"/>
      <c r="DCA49" s="159"/>
      <c r="DCB49" s="159"/>
      <c r="DCC49" s="159"/>
      <c r="DCD49" s="159"/>
      <c r="DCE49" s="159"/>
      <c r="DCF49" s="159"/>
      <c r="DCG49" s="159"/>
      <c r="DCH49" s="159"/>
      <c r="DCI49" s="159"/>
      <c r="DCJ49" s="159"/>
      <c r="DCK49" s="159"/>
      <c r="DCL49" s="159"/>
      <c r="DCM49" s="159"/>
      <c r="DCN49" s="159"/>
      <c r="DCO49" s="159"/>
      <c r="DCP49" s="159"/>
      <c r="DCQ49" s="159"/>
      <c r="DCR49" s="159"/>
      <c r="DCS49" s="159"/>
      <c r="DCT49" s="159"/>
      <c r="DCU49" s="159"/>
      <c r="DCV49" s="159"/>
      <c r="DCW49" s="159"/>
      <c r="DCX49" s="159"/>
      <c r="DCY49" s="159"/>
      <c r="DCZ49" s="159"/>
      <c r="DDA49" s="159"/>
      <c r="DDB49" s="159"/>
      <c r="DDC49" s="159"/>
      <c r="DDD49" s="159"/>
      <c r="DDE49" s="159"/>
      <c r="DDF49" s="159"/>
      <c r="DDG49" s="159"/>
      <c r="DDH49" s="159"/>
      <c r="DDI49" s="159"/>
      <c r="DDJ49" s="159"/>
      <c r="DDK49" s="159"/>
      <c r="DDL49" s="159"/>
      <c r="DDM49" s="159"/>
      <c r="DDN49" s="159"/>
      <c r="DDO49" s="159"/>
      <c r="DDP49" s="159"/>
      <c r="DDQ49" s="159"/>
      <c r="DDR49" s="159"/>
      <c r="DDS49" s="159"/>
      <c r="DDT49" s="159"/>
      <c r="DDU49" s="159"/>
      <c r="DDV49" s="159"/>
      <c r="DDW49" s="159"/>
      <c r="DDX49" s="159"/>
      <c r="DDY49" s="159"/>
      <c r="DDZ49" s="159"/>
      <c r="DEA49" s="159"/>
      <c r="DEB49" s="159"/>
      <c r="DEC49" s="159"/>
      <c r="DED49" s="159"/>
      <c r="DEE49" s="159"/>
      <c r="DEF49" s="159"/>
      <c r="DEG49" s="159"/>
      <c r="DEH49" s="159"/>
      <c r="DEI49" s="159"/>
      <c r="DEJ49" s="159"/>
      <c r="DEK49" s="159"/>
      <c r="DEL49" s="159"/>
      <c r="DEM49" s="159"/>
      <c r="DEN49" s="159"/>
      <c r="DEO49" s="159"/>
      <c r="DEP49" s="159"/>
      <c r="DEQ49" s="159"/>
      <c r="DER49" s="159"/>
      <c r="DES49" s="159"/>
      <c r="DET49" s="159"/>
      <c r="DEU49" s="159"/>
      <c r="DEV49" s="159"/>
      <c r="DEW49" s="159"/>
      <c r="DEX49" s="159"/>
      <c r="DEY49" s="159"/>
      <c r="DEZ49" s="159"/>
      <c r="DFA49" s="159"/>
      <c r="DFB49" s="159"/>
      <c r="DFC49" s="159"/>
      <c r="DFD49" s="159"/>
      <c r="DFE49" s="159"/>
      <c r="DFF49" s="159"/>
      <c r="DFG49" s="159"/>
      <c r="DFH49" s="159"/>
      <c r="DFI49" s="159"/>
      <c r="DFJ49" s="159"/>
      <c r="DFK49" s="159"/>
      <c r="DFL49" s="159"/>
      <c r="DFM49" s="159"/>
      <c r="DFN49" s="159"/>
      <c r="DFO49" s="159"/>
      <c r="DFP49" s="159"/>
      <c r="DFQ49" s="159"/>
      <c r="DFR49" s="159"/>
      <c r="DFS49" s="159"/>
      <c r="DFT49" s="159"/>
      <c r="DFU49" s="159"/>
      <c r="DFV49" s="159"/>
      <c r="DFW49" s="159"/>
      <c r="DFX49" s="159"/>
      <c r="DFY49" s="159"/>
      <c r="DFZ49" s="159"/>
      <c r="DGA49" s="159"/>
      <c r="DGB49" s="159"/>
      <c r="DGC49" s="159"/>
      <c r="DGD49" s="159"/>
      <c r="DGE49" s="159"/>
      <c r="DGF49" s="159"/>
      <c r="DGG49" s="159"/>
      <c r="DGH49" s="159"/>
      <c r="DGI49" s="159"/>
      <c r="DGJ49" s="159"/>
      <c r="DGK49" s="159"/>
      <c r="DGL49" s="159"/>
      <c r="DGM49" s="159"/>
      <c r="DGN49" s="159"/>
      <c r="DGO49" s="159"/>
      <c r="DGP49" s="159"/>
      <c r="DGQ49" s="159"/>
      <c r="DGR49" s="159"/>
      <c r="DGS49" s="159"/>
      <c r="DGT49" s="159"/>
      <c r="DGU49" s="159"/>
      <c r="DGV49" s="159"/>
      <c r="DGW49" s="159"/>
      <c r="DGX49" s="159"/>
      <c r="DGY49" s="159"/>
      <c r="DGZ49" s="159"/>
      <c r="DHA49" s="159"/>
      <c r="DHB49" s="159"/>
      <c r="DHC49" s="159"/>
      <c r="DHD49" s="159"/>
      <c r="DHE49" s="159"/>
      <c r="DHF49" s="159"/>
      <c r="DHG49" s="159"/>
      <c r="DHH49" s="159"/>
      <c r="DHI49" s="159"/>
      <c r="DHJ49" s="159"/>
      <c r="DHK49" s="159"/>
      <c r="DHL49" s="159"/>
      <c r="DHM49" s="159"/>
      <c r="DHN49" s="159"/>
      <c r="DHO49" s="159"/>
      <c r="DHP49" s="159"/>
      <c r="DHQ49" s="159"/>
      <c r="DHR49" s="159"/>
      <c r="DHS49" s="159"/>
      <c r="DHT49" s="159"/>
      <c r="DHU49" s="159"/>
      <c r="DHV49" s="159"/>
      <c r="DHW49" s="159"/>
      <c r="DHX49" s="159"/>
      <c r="DHY49" s="159"/>
      <c r="DHZ49" s="159"/>
      <c r="DIA49" s="159"/>
      <c r="DIB49" s="159"/>
      <c r="DIC49" s="159"/>
      <c r="DID49" s="159"/>
      <c r="DIE49" s="159"/>
      <c r="DIF49" s="159"/>
      <c r="DIG49" s="159"/>
      <c r="DIH49" s="159"/>
      <c r="DII49" s="159"/>
      <c r="DIJ49" s="159"/>
      <c r="DIK49" s="159"/>
      <c r="DIL49" s="159"/>
      <c r="DIM49" s="159"/>
      <c r="DIN49" s="159"/>
      <c r="DIO49" s="159"/>
      <c r="DIP49" s="159"/>
      <c r="DIQ49" s="159"/>
      <c r="DIR49" s="159"/>
      <c r="DIS49" s="159"/>
      <c r="DIT49" s="159"/>
      <c r="DIU49" s="159"/>
      <c r="DIV49" s="159"/>
      <c r="DIW49" s="159"/>
      <c r="DIX49" s="159"/>
      <c r="DIY49" s="159"/>
      <c r="DIZ49" s="159"/>
      <c r="DJA49" s="159"/>
      <c r="DJB49" s="159"/>
      <c r="DJC49" s="159"/>
      <c r="DJD49" s="159"/>
      <c r="DJE49" s="159"/>
      <c r="DJF49" s="159"/>
      <c r="DJG49" s="159"/>
      <c r="DJH49" s="159"/>
      <c r="DJI49" s="159"/>
      <c r="DJJ49" s="159"/>
      <c r="DJK49" s="159"/>
      <c r="DJL49" s="159"/>
      <c r="DJM49" s="159"/>
      <c r="DJN49" s="159"/>
      <c r="DJO49" s="159"/>
      <c r="DJP49" s="159"/>
      <c r="DJQ49" s="159"/>
      <c r="DJR49" s="159"/>
      <c r="DJS49" s="159"/>
      <c r="DJT49" s="159"/>
      <c r="DJU49" s="159"/>
      <c r="DJV49" s="159"/>
      <c r="DJW49" s="159"/>
      <c r="DJX49" s="159"/>
      <c r="DJY49" s="159"/>
      <c r="DJZ49" s="159"/>
      <c r="DKA49" s="159"/>
      <c r="DKB49" s="159"/>
      <c r="DKC49" s="159"/>
      <c r="DKD49" s="159"/>
      <c r="DKE49" s="159"/>
      <c r="DKF49" s="159"/>
      <c r="DKG49" s="159"/>
      <c r="DKH49" s="159"/>
      <c r="DKI49" s="159"/>
      <c r="DKJ49" s="159"/>
      <c r="DKK49" s="159"/>
      <c r="DKL49" s="159"/>
      <c r="DKM49" s="159"/>
      <c r="DKN49" s="159"/>
      <c r="DKO49" s="159"/>
      <c r="DKP49" s="159"/>
      <c r="DKQ49" s="159"/>
      <c r="DKR49" s="159"/>
      <c r="DKS49" s="159"/>
      <c r="DKT49" s="159"/>
      <c r="DKU49" s="159"/>
      <c r="DKV49" s="159"/>
      <c r="DKW49" s="159"/>
      <c r="DKX49" s="159"/>
      <c r="DKY49" s="159"/>
      <c r="DKZ49" s="159"/>
      <c r="DLA49" s="159"/>
      <c r="DLB49" s="159"/>
      <c r="DLC49" s="159"/>
      <c r="DLD49" s="159"/>
      <c r="DLE49" s="159"/>
      <c r="DLF49" s="159"/>
      <c r="DLG49" s="159"/>
      <c r="DLH49" s="159"/>
      <c r="DLI49" s="159"/>
      <c r="DLJ49" s="159"/>
      <c r="DLK49" s="159"/>
      <c r="DLL49" s="159"/>
      <c r="DLM49" s="159"/>
      <c r="DLN49" s="159"/>
      <c r="DLO49" s="159"/>
      <c r="DLP49" s="159"/>
      <c r="DLQ49" s="159"/>
      <c r="DLR49" s="159"/>
      <c r="DLS49" s="159"/>
      <c r="DLT49" s="159"/>
      <c r="DLU49" s="159"/>
      <c r="DLV49" s="159"/>
      <c r="DLW49" s="159"/>
      <c r="DLX49" s="159"/>
      <c r="DLY49" s="159"/>
      <c r="DLZ49" s="159"/>
      <c r="DMA49" s="159"/>
      <c r="DMB49" s="159"/>
      <c r="DMC49" s="159"/>
      <c r="DMD49" s="159"/>
      <c r="DME49" s="159"/>
      <c r="DMF49" s="159"/>
      <c r="DMG49" s="159"/>
      <c r="DMH49" s="159"/>
      <c r="DMI49" s="159"/>
      <c r="DMJ49" s="159"/>
      <c r="DMK49" s="159"/>
      <c r="DML49" s="159"/>
      <c r="DMM49" s="159"/>
      <c r="DMN49" s="159"/>
      <c r="DMO49" s="159"/>
      <c r="DMP49" s="159"/>
      <c r="DMQ49" s="159"/>
      <c r="DMR49" s="159"/>
      <c r="DMS49" s="159"/>
      <c r="DMT49" s="159"/>
      <c r="DMU49" s="159"/>
      <c r="DMV49" s="159"/>
      <c r="DMW49" s="159"/>
      <c r="DMX49" s="159"/>
      <c r="DMY49" s="159"/>
      <c r="DMZ49" s="159"/>
      <c r="DNA49" s="159"/>
      <c r="DNB49" s="159"/>
      <c r="DNC49" s="159"/>
      <c r="DND49" s="159"/>
      <c r="DNE49" s="159"/>
      <c r="DNF49" s="159"/>
      <c r="DNG49" s="159"/>
      <c r="DNH49" s="159"/>
      <c r="DNI49" s="159"/>
      <c r="DNJ49" s="159"/>
      <c r="DNK49" s="159"/>
      <c r="DNL49" s="159"/>
      <c r="DNM49" s="159"/>
      <c r="DNN49" s="159"/>
      <c r="DNO49" s="159"/>
      <c r="DNP49" s="159"/>
      <c r="DNQ49" s="159"/>
      <c r="DNR49" s="159"/>
      <c r="DNS49" s="159"/>
      <c r="DNT49" s="159"/>
      <c r="DNU49" s="159"/>
      <c r="DNV49" s="159"/>
      <c r="DNW49" s="159"/>
      <c r="DNX49" s="159"/>
      <c r="DNY49" s="159"/>
      <c r="DNZ49" s="159"/>
      <c r="DOA49" s="159"/>
      <c r="DOB49" s="159"/>
      <c r="DOC49" s="159"/>
      <c r="DOD49" s="159"/>
      <c r="DOE49" s="159"/>
      <c r="DOF49" s="159"/>
      <c r="DOG49" s="159"/>
      <c r="DOH49" s="159"/>
      <c r="DOI49" s="159"/>
      <c r="DOJ49" s="159"/>
      <c r="DOK49" s="159"/>
      <c r="DOL49" s="159"/>
      <c r="DOM49" s="159"/>
      <c r="DON49" s="159"/>
      <c r="DOO49" s="159"/>
      <c r="DOP49" s="159"/>
      <c r="DOQ49" s="159"/>
      <c r="DOR49" s="159"/>
      <c r="DOS49" s="159"/>
      <c r="DOT49" s="159"/>
      <c r="DOU49" s="159"/>
      <c r="DOV49" s="159"/>
      <c r="DOW49" s="159"/>
      <c r="DOX49" s="159"/>
      <c r="DOY49" s="159"/>
      <c r="DOZ49" s="159"/>
      <c r="DPA49" s="159"/>
      <c r="DPB49" s="159"/>
      <c r="DPC49" s="159"/>
      <c r="DPD49" s="159"/>
      <c r="DPE49" s="159"/>
      <c r="DPF49" s="159"/>
      <c r="DPG49" s="159"/>
      <c r="DPH49" s="159"/>
      <c r="DPI49" s="159"/>
      <c r="DPJ49" s="159"/>
      <c r="DPK49" s="159"/>
      <c r="DPL49" s="159"/>
      <c r="DPM49" s="159"/>
      <c r="DPN49" s="159"/>
      <c r="DPO49" s="159"/>
      <c r="DPP49" s="159"/>
      <c r="DPQ49" s="159"/>
      <c r="DPR49" s="159"/>
      <c r="DPS49" s="159"/>
      <c r="DPT49" s="159"/>
      <c r="DPU49" s="159"/>
      <c r="DPV49" s="159"/>
      <c r="DPW49" s="159"/>
      <c r="DPX49" s="159"/>
      <c r="DPY49" s="159"/>
      <c r="DPZ49" s="159"/>
      <c r="DQA49" s="159"/>
      <c r="DQB49" s="159"/>
      <c r="DQC49" s="159"/>
      <c r="DQD49" s="159"/>
      <c r="DQE49" s="159"/>
      <c r="DQF49" s="159"/>
      <c r="DQG49" s="159"/>
      <c r="DQH49" s="159"/>
      <c r="DQI49" s="159"/>
      <c r="DQJ49" s="159"/>
      <c r="DQK49" s="159"/>
      <c r="DQL49" s="159"/>
      <c r="DQM49" s="159"/>
      <c r="DQN49" s="159"/>
      <c r="DQO49" s="159"/>
      <c r="DQP49" s="159"/>
      <c r="DQQ49" s="159"/>
      <c r="DQR49" s="159"/>
      <c r="DQS49" s="159"/>
      <c r="DQT49" s="159"/>
      <c r="DQU49" s="159"/>
      <c r="DQV49" s="159"/>
      <c r="DQW49" s="159"/>
      <c r="DQX49" s="159"/>
      <c r="DQY49" s="159"/>
      <c r="DQZ49" s="159"/>
      <c r="DRA49" s="159"/>
      <c r="DRB49" s="159"/>
      <c r="DRC49" s="159"/>
      <c r="DRD49" s="159"/>
      <c r="DRE49" s="159"/>
      <c r="DRF49" s="159"/>
      <c r="DRG49" s="159"/>
      <c r="DRH49" s="159"/>
      <c r="DRI49" s="159"/>
      <c r="DRJ49" s="159"/>
      <c r="DRK49" s="159"/>
      <c r="DRL49" s="159"/>
      <c r="DRM49" s="159"/>
      <c r="DRN49" s="159"/>
      <c r="DRO49" s="159"/>
      <c r="DRP49" s="159"/>
      <c r="DRQ49" s="159"/>
      <c r="DRR49" s="159"/>
      <c r="DRS49" s="159"/>
      <c r="DRT49" s="159"/>
      <c r="DRU49" s="159"/>
      <c r="DRV49" s="159"/>
      <c r="DRW49" s="159"/>
      <c r="DRX49" s="159"/>
      <c r="DRY49" s="159"/>
      <c r="DRZ49" s="159"/>
      <c r="DSA49" s="159"/>
      <c r="DSB49" s="159"/>
      <c r="DSC49" s="159"/>
      <c r="DSD49" s="159"/>
      <c r="DSE49" s="159"/>
      <c r="DSF49" s="159"/>
      <c r="DSG49" s="159"/>
      <c r="DSH49" s="159"/>
      <c r="DSI49" s="159"/>
      <c r="DSJ49" s="159"/>
      <c r="DSK49" s="159"/>
      <c r="DSL49" s="159"/>
      <c r="DSM49" s="159"/>
      <c r="DSN49" s="159"/>
      <c r="DSO49" s="159"/>
      <c r="DSP49" s="159"/>
      <c r="DSQ49" s="159"/>
      <c r="DSR49" s="159"/>
      <c r="DSS49" s="159"/>
      <c r="DST49" s="159"/>
      <c r="DSU49" s="159"/>
      <c r="DSV49" s="159"/>
      <c r="DSW49" s="159"/>
      <c r="DSX49" s="159"/>
      <c r="DSY49" s="159"/>
      <c r="DSZ49" s="159"/>
      <c r="DTA49" s="159"/>
      <c r="DTB49" s="159"/>
      <c r="DTC49" s="159"/>
      <c r="DTD49" s="159"/>
      <c r="DTE49" s="159"/>
      <c r="DTF49" s="159"/>
      <c r="DTG49" s="159"/>
      <c r="DTH49" s="159"/>
      <c r="DTI49" s="159"/>
      <c r="DTJ49" s="159"/>
      <c r="DTK49" s="159"/>
      <c r="DTL49" s="159"/>
      <c r="DTM49" s="159"/>
      <c r="DTN49" s="159"/>
      <c r="DTO49" s="159"/>
      <c r="DTP49" s="159"/>
      <c r="DTQ49" s="159"/>
      <c r="DTR49" s="159"/>
      <c r="DTS49" s="159"/>
      <c r="DTT49" s="159"/>
      <c r="DTU49" s="159"/>
      <c r="DTV49" s="159"/>
      <c r="DTW49" s="159"/>
      <c r="DTX49" s="159"/>
      <c r="DTY49" s="159"/>
      <c r="DTZ49" s="159"/>
      <c r="DUA49" s="159"/>
      <c r="DUB49" s="159"/>
      <c r="DUC49" s="159"/>
      <c r="DUD49" s="159"/>
      <c r="DUE49" s="159"/>
      <c r="DUF49" s="159"/>
      <c r="DUG49" s="159"/>
      <c r="DUH49" s="159"/>
      <c r="DUI49" s="159"/>
      <c r="DUJ49" s="159"/>
      <c r="DUK49" s="159"/>
      <c r="DUL49" s="159"/>
      <c r="DUM49" s="159"/>
      <c r="DUN49" s="159"/>
      <c r="DUO49" s="159"/>
      <c r="DUP49" s="159"/>
      <c r="DUQ49" s="159"/>
      <c r="DUR49" s="159"/>
      <c r="DUS49" s="159"/>
      <c r="DUT49" s="159"/>
      <c r="DUU49" s="159"/>
      <c r="DUV49" s="159"/>
      <c r="DUW49" s="159"/>
      <c r="DUX49" s="159"/>
      <c r="DUY49" s="159"/>
      <c r="DUZ49" s="159"/>
      <c r="DVA49" s="159"/>
      <c r="DVB49" s="159"/>
      <c r="DVC49" s="159"/>
      <c r="DVD49" s="159"/>
      <c r="DVE49" s="159"/>
      <c r="DVF49" s="159"/>
      <c r="DVG49" s="159"/>
      <c r="DVH49" s="159"/>
      <c r="DVI49" s="159"/>
      <c r="DVJ49" s="159"/>
      <c r="DVK49" s="159"/>
      <c r="DVL49" s="159"/>
      <c r="DVM49" s="159"/>
      <c r="DVN49" s="159"/>
      <c r="DVO49" s="159"/>
      <c r="DVP49" s="159"/>
      <c r="DVQ49" s="159"/>
      <c r="DVR49" s="159"/>
      <c r="DVS49" s="159"/>
      <c r="DVT49" s="159"/>
      <c r="DVU49" s="159"/>
      <c r="DVV49" s="159"/>
      <c r="DVW49" s="159"/>
      <c r="DVX49" s="159"/>
      <c r="DVY49" s="159"/>
      <c r="DVZ49" s="159"/>
      <c r="DWA49" s="159"/>
      <c r="DWB49" s="159"/>
      <c r="DWC49" s="159"/>
      <c r="DWD49" s="159"/>
      <c r="DWE49" s="159"/>
      <c r="DWF49" s="159"/>
      <c r="DWG49" s="159"/>
      <c r="DWH49" s="159"/>
      <c r="DWI49" s="159"/>
      <c r="DWJ49" s="159"/>
      <c r="DWK49" s="159"/>
      <c r="DWL49" s="159"/>
      <c r="DWM49" s="159"/>
      <c r="DWN49" s="159"/>
      <c r="DWO49" s="159"/>
      <c r="DWP49" s="159"/>
      <c r="DWQ49" s="159"/>
      <c r="DWR49" s="159"/>
      <c r="DWS49" s="159"/>
      <c r="DWT49" s="159"/>
      <c r="DWU49" s="159"/>
      <c r="DWV49" s="159"/>
      <c r="DWW49" s="159"/>
      <c r="DWX49" s="159"/>
      <c r="DWY49" s="159"/>
      <c r="DWZ49" s="159"/>
      <c r="DXA49" s="159"/>
      <c r="DXB49" s="159"/>
      <c r="DXC49" s="159"/>
      <c r="DXD49" s="159"/>
      <c r="DXE49" s="159"/>
      <c r="DXF49" s="159"/>
      <c r="DXG49" s="159"/>
      <c r="DXH49" s="159"/>
      <c r="DXI49" s="159"/>
      <c r="DXJ49" s="159"/>
      <c r="DXK49" s="159"/>
      <c r="DXL49" s="159"/>
      <c r="DXM49" s="159"/>
      <c r="DXN49" s="159"/>
      <c r="DXO49" s="159"/>
      <c r="DXP49" s="159"/>
      <c r="DXQ49" s="159"/>
      <c r="DXR49" s="159"/>
      <c r="DXS49" s="159"/>
      <c r="DXT49" s="159"/>
      <c r="DXU49" s="159"/>
      <c r="DXV49" s="159"/>
      <c r="DXW49" s="159"/>
      <c r="DXX49" s="159"/>
      <c r="DXY49" s="159"/>
      <c r="DXZ49" s="159"/>
      <c r="DYA49" s="159"/>
      <c r="DYB49" s="159"/>
      <c r="DYC49" s="159"/>
      <c r="DYD49" s="159"/>
      <c r="DYE49" s="159"/>
      <c r="DYF49" s="159"/>
      <c r="DYG49" s="159"/>
      <c r="DYH49" s="159"/>
      <c r="DYI49" s="159"/>
      <c r="DYJ49" s="159"/>
      <c r="DYK49" s="159"/>
      <c r="DYL49" s="159"/>
      <c r="DYM49" s="159"/>
      <c r="DYN49" s="159"/>
      <c r="DYO49" s="159"/>
      <c r="DYP49" s="159"/>
      <c r="DYQ49" s="159"/>
      <c r="DYR49" s="159"/>
      <c r="DYS49" s="159"/>
      <c r="DYT49" s="159"/>
      <c r="DYU49" s="159"/>
      <c r="DYV49" s="159"/>
      <c r="DYW49" s="159"/>
      <c r="DYX49" s="159"/>
      <c r="DYY49" s="159"/>
      <c r="DYZ49" s="159"/>
      <c r="DZA49" s="159"/>
      <c r="DZB49" s="159"/>
      <c r="DZC49" s="159"/>
      <c r="DZD49" s="159"/>
      <c r="DZE49" s="159"/>
      <c r="DZF49" s="159"/>
      <c r="DZG49" s="159"/>
      <c r="DZH49" s="159"/>
      <c r="DZI49" s="159"/>
      <c r="DZJ49" s="159"/>
      <c r="DZK49" s="159"/>
      <c r="DZL49" s="159"/>
      <c r="DZM49" s="159"/>
      <c r="DZN49" s="159"/>
      <c r="DZO49" s="159"/>
      <c r="DZP49" s="159"/>
      <c r="DZQ49" s="159"/>
      <c r="DZR49" s="159"/>
      <c r="DZS49" s="159"/>
      <c r="DZT49" s="159"/>
      <c r="DZU49" s="159"/>
      <c r="DZV49" s="159"/>
      <c r="DZW49" s="159"/>
      <c r="DZX49" s="159"/>
      <c r="DZY49" s="159"/>
      <c r="DZZ49" s="159"/>
      <c r="EAA49" s="159"/>
      <c r="EAB49" s="159"/>
      <c r="EAC49" s="159"/>
      <c r="EAD49" s="159"/>
      <c r="EAE49" s="159"/>
      <c r="EAF49" s="159"/>
      <c r="EAG49" s="159"/>
      <c r="EAH49" s="159"/>
      <c r="EAI49" s="159"/>
      <c r="EAJ49" s="159"/>
      <c r="EAK49" s="159"/>
      <c r="EAL49" s="159"/>
      <c r="EAM49" s="159"/>
      <c r="EAN49" s="159"/>
      <c r="EAO49" s="159"/>
      <c r="EAP49" s="159"/>
      <c r="EAQ49" s="159"/>
      <c r="EAR49" s="159"/>
      <c r="EAS49" s="159"/>
      <c r="EAT49" s="159"/>
      <c r="EAU49" s="159"/>
      <c r="EAV49" s="159"/>
      <c r="EAW49" s="159"/>
      <c r="EAX49" s="159"/>
      <c r="EAY49" s="159"/>
      <c r="EAZ49" s="159"/>
      <c r="EBA49" s="159"/>
      <c r="EBB49" s="159"/>
      <c r="EBC49" s="159"/>
      <c r="EBD49" s="159"/>
      <c r="EBE49" s="159"/>
      <c r="EBF49" s="159"/>
      <c r="EBG49" s="159"/>
      <c r="EBH49" s="159"/>
      <c r="EBI49" s="159"/>
      <c r="EBJ49" s="159"/>
      <c r="EBK49" s="159"/>
      <c r="EBL49" s="159"/>
      <c r="EBM49" s="159"/>
      <c r="EBN49" s="159"/>
      <c r="EBO49" s="159"/>
      <c r="EBP49" s="159"/>
      <c r="EBQ49" s="159"/>
      <c r="EBR49" s="159"/>
      <c r="EBS49" s="159"/>
      <c r="EBT49" s="159"/>
      <c r="EBU49" s="159"/>
      <c r="EBV49" s="159"/>
      <c r="EBW49" s="159"/>
      <c r="EBX49" s="159"/>
      <c r="EBY49" s="159"/>
      <c r="EBZ49" s="159"/>
      <c r="ECA49" s="159"/>
      <c r="ECB49" s="159"/>
      <c r="ECC49" s="159"/>
      <c r="ECD49" s="159"/>
      <c r="ECE49" s="159"/>
      <c r="ECF49" s="159"/>
      <c r="ECG49" s="159"/>
      <c r="ECH49" s="159"/>
      <c r="ECI49" s="159"/>
      <c r="ECJ49" s="159"/>
      <c r="ECK49" s="159"/>
      <c r="ECL49" s="159"/>
      <c r="ECM49" s="159"/>
      <c r="ECN49" s="159"/>
      <c r="ECO49" s="159"/>
      <c r="ECP49" s="159"/>
      <c r="ECQ49" s="159"/>
      <c r="ECR49" s="159"/>
      <c r="ECS49" s="159"/>
      <c r="ECT49" s="159"/>
      <c r="ECU49" s="159"/>
      <c r="ECV49" s="159"/>
      <c r="ECW49" s="159"/>
      <c r="ECX49" s="159"/>
      <c r="ECY49" s="159"/>
      <c r="ECZ49" s="159"/>
      <c r="EDA49" s="159"/>
      <c r="EDB49" s="159"/>
      <c r="EDC49" s="159"/>
      <c r="EDD49" s="159"/>
      <c r="EDE49" s="159"/>
      <c r="EDF49" s="159"/>
      <c r="EDG49" s="159"/>
      <c r="EDH49" s="159"/>
      <c r="EDI49" s="159"/>
      <c r="EDJ49" s="159"/>
      <c r="EDK49" s="159"/>
      <c r="EDL49" s="159"/>
      <c r="EDM49" s="159"/>
      <c r="EDN49" s="159"/>
      <c r="EDO49" s="159"/>
      <c r="EDP49" s="159"/>
      <c r="EDQ49" s="159"/>
      <c r="EDR49" s="159"/>
      <c r="EDS49" s="159"/>
      <c r="EDT49" s="159"/>
      <c r="EDU49" s="159"/>
      <c r="EDV49" s="159"/>
      <c r="EDW49" s="159"/>
      <c r="EDX49" s="159"/>
      <c r="EDY49" s="159"/>
      <c r="EDZ49" s="159"/>
      <c r="EEA49" s="159"/>
      <c r="EEB49" s="159"/>
      <c r="EEC49" s="159"/>
      <c r="EED49" s="159"/>
      <c r="EEE49" s="159"/>
      <c r="EEF49" s="159"/>
      <c r="EEG49" s="159"/>
      <c r="EEH49" s="159"/>
      <c r="EEI49" s="159"/>
      <c r="EEJ49" s="159"/>
      <c r="EEK49" s="159"/>
      <c r="EEL49" s="159"/>
      <c r="EEM49" s="159"/>
      <c r="EEN49" s="159"/>
      <c r="EEO49" s="159"/>
      <c r="EEP49" s="159"/>
      <c r="EEQ49" s="159"/>
      <c r="EER49" s="159"/>
      <c r="EES49" s="159"/>
      <c r="EET49" s="159"/>
      <c r="EEU49" s="159"/>
      <c r="EEV49" s="159"/>
      <c r="EEW49" s="159"/>
      <c r="EEX49" s="159"/>
      <c r="EEY49" s="159"/>
      <c r="EEZ49" s="159"/>
      <c r="EFA49" s="159"/>
      <c r="EFB49" s="159"/>
      <c r="EFC49" s="159"/>
      <c r="EFD49" s="159"/>
      <c r="EFE49" s="159"/>
      <c r="EFF49" s="159"/>
      <c r="EFG49" s="159"/>
      <c r="EFH49" s="159"/>
      <c r="EFI49" s="159"/>
      <c r="EFJ49" s="159"/>
      <c r="EFK49" s="159"/>
      <c r="EFL49" s="159"/>
      <c r="EFM49" s="159"/>
      <c r="EFN49" s="159"/>
      <c r="EFO49" s="159"/>
      <c r="EFP49" s="159"/>
      <c r="EFQ49" s="159"/>
      <c r="EFR49" s="159"/>
      <c r="EFS49" s="159"/>
      <c r="EFT49" s="159"/>
      <c r="EFU49" s="159"/>
      <c r="EFV49" s="159"/>
      <c r="EFW49" s="159"/>
      <c r="EFX49" s="159"/>
      <c r="EFY49" s="159"/>
      <c r="EFZ49" s="159"/>
      <c r="EGA49" s="159"/>
      <c r="EGB49" s="159"/>
      <c r="EGC49" s="159"/>
      <c r="EGD49" s="159"/>
      <c r="EGE49" s="159"/>
      <c r="EGF49" s="159"/>
      <c r="EGG49" s="159"/>
      <c r="EGH49" s="159"/>
      <c r="EGI49" s="159"/>
      <c r="EGJ49" s="159"/>
      <c r="EGK49" s="159"/>
      <c r="EGL49" s="159"/>
      <c r="EGM49" s="159"/>
      <c r="EGN49" s="159"/>
      <c r="EGO49" s="159"/>
      <c r="EGP49" s="159"/>
      <c r="EGQ49" s="159"/>
      <c r="EGR49" s="159"/>
      <c r="EGS49" s="159"/>
      <c r="EGT49" s="159"/>
      <c r="EGU49" s="159"/>
      <c r="EGV49" s="159"/>
      <c r="EGW49" s="159"/>
      <c r="EGX49" s="159"/>
      <c r="EGY49" s="159"/>
      <c r="EGZ49" s="159"/>
      <c r="EHA49" s="159"/>
      <c r="EHB49" s="159"/>
      <c r="EHC49" s="159"/>
      <c r="EHD49" s="159"/>
      <c r="EHE49" s="159"/>
      <c r="EHF49" s="159"/>
      <c r="EHG49" s="159"/>
      <c r="EHH49" s="159"/>
      <c r="EHI49" s="159"/>
      <c r="EHJ49" s="159"/>
      <c r="EHK49" s="159"/>
      <c r="EHL49" s="159"/>
      <c r="EHM49" s="159"/>
      <c r="EHN49" s="159"/>
      <c r="EHO49" s="159"/>
      <c r="EHP49" s="159"/>
      <c r="EHQ49" s="159"/>
      <c r="EHR49" s="159"/>
      <c r="EHS49" s="159"/>
      <c r="EHT49" s="159"/>
      <c r="EHU49" s="159"/>
      <c r="EHV49" s="159"/>
      <c r="EHW49" s="159"/>
      <c r="EHX49" s="159"/>
      <c r="EHY49" s="159"/>
      <c r="EHZ49" s="159"/>
      <c r="EIA49" s="159"/>
      <c r="EIB49" s="159"/>
      <c r="EIC49" s="159"/>
      <c r="EID49" s="159"/>
      <c r="EIE49" s="159"/>
      <c r="EIF49" s="159"/>
      <c r="EIG49" s="159"/>
      <c r="EIH49" s="159"/>
      <c r="EII49" s="159"/>
      <c r="EIJ49" s="159"/>
      <c r="EIK49" s="159"/>
      <c r="EIL49" s="159"/>
      <c r="EIM49" s="159"/>
      <c r="EIN49" s="159"/>
      <c r="EIO49" s="159"/>
      <c r="EIP49" s="159"/>
      <c r="EIQ49" s="159"/>
      <c r="EIR49" s="159"/>
      <c r="EIS49" s="159"/>
      <c r="EIT49" s="159"/>
      <c r="EIU49" s="159"/>
      <c r="EIV49" s="159"/>
      <c r="EIW49" s="159"/>
      <c r="EIX49" s="159"/>
      <c r="EIY49" s="159"/>
      <c r="EIZ49" s="159"/>
      <c r="EJA49" s="159"/>
      <c r="EJB49" s="159"/>
      <c r="EJC49" s="159"/>
      <c r="EJD49" s="159"/>
      <c r="EJE49" s="159"/>
      <c r="EJF49" s="159"/>
      <c r="EJG49" s="159"/>
      <c r="EJH49" s="159"/>
      <c r="EJI49" s="159"/>
      <c r="EJJ49" s="159"/>
      <c r="EJK49" s="159"/>
      <c r="EJL49" s="159"/>
      <c r="EJM49" s="159"/>
      <c r="EJN49" s="159"/>
      <c r="EJO49" s="159"/>
      <c r="EJP49" s="159"/>
      <c r="EJQ49" s="159"/>
      <c r="EJR49" s="159"/>
      <c r="EJS49" s="159"/>
      <c r="EJT49" s="159"/>
      <c r="EJU49" s="159"/>
      <c r="EJV49" s="159"/>
      <c r="EJW49" s="159"/>
      <c r="EJX49" s="159"/>
      <c r="EJY49" s="159"/>
      <c r="EJZ49" s="159"/>
      <c r="EKA49" s="159"/>
      <c r="EKB49" s="159"/>
      <c r="EKC49" s="159"/>
      <c r="EKD49" s="159"/>
      <c r="EKE49" s="159"/>
      <c r="EKF49" s="159"/>
      <c r="EKG49" s="159"/>
      <c r="EKH49" s="159"/>
      <c r="EKI49" s="159"/>
      <c r="EKJ49" s="159"/>
      <c r="EKK49" s="159"/>
      <c r="EKL49" s="159"/>
      <c r="EKM49" s="159"/>
      <c r="EKN49" s="159"/>
      <c r="EKO49" s="159"/>
      <c r="EKP49" s="159"/>
      <c r="EKQ49" s="159"/>
      <c r="EKR49" s="159"/>
      <c r="EKS49" s="159"/>
      <c r="EKT49" s="159"/>
      <c r="EKU49" s="159"/>
      <c r="EKV49" s="159"/>
      <c r="EKW49" s="159"/>
      <c r="EKX49" s="159"/>
      <c r="EKY49" s="159"/>
      <c r="EKZ49" s="159"/>
      <c r="ELA49" s="159"/>
      <c r="ELB49" s="159"/>
      <c r="ELC49" s="159"/>
      <c r="ELD49" s="159"/>
      <c r="ELE49" s="159"/>
      <c r="ELF49" s="159"/>
      <c r="ELG49" s="159"/>
      <c r="ELH49" s="159"/>
      <c r="ELI49" s="159"/>
      <c r="ELJ49" s="159"/>
      <c r="ELK49" s="159"/>
      <c r="ELL49" s="159"/>
      <c r="ELM49" s="159"/>
      <c r="ELN49" s="159"/>
      <c r="ELO49" s="159"/>
      <c r="ELP49" s="159"/>
      <c r="ELQ49" s="159"/>
      <c r="ELR49" s="159"/>
      <c r="ELS49" s="159"/>
      <c r="ELT49" s="159"/>
      <c r="ELU49" s="159"/>
      <c r="ELV49" s="159"/>
      <c r="ELW49" s="159"/>
      <c r="ELX49" s="159"/>
      <c r="ELY49" s="159"/>
      <c r="ELZ49" s="159"/>
      <c r="EMA49" s="159"/>
      <c r="EMB49" s="159"/>
      <c r="EMC49" s="159"/>
      <c r="EMD49" s="159"/>
      <c r="EME49" s="159"/>
      <c r="EMF49" s="159"/>
      <c r="EMG49" s="159"/>
      <c r="EMH49" s="159"/>
      <c r="EMI49" s="159"/>
      <c r="EMJ49" s="159"/>
      <c r="EMK49" s="159"/>
      <c r="EML49" s="159"/>
      <c r="EMM49" s="159"/>
      <c r="EMN49" s="159"/>
      <c r="EMO49" s="159"/>
      <c r="EMP49" s="159"/>
      <c r="EMQ49" s="159"/>
      <c r="EMR49" s="159"/>
      <c r="EMS49" s="159"/>
      <c r="EMT49" s="159"/>
      <c r="EMU49" s="159"/>
      <c r="EMV49" s="159"/>
      <c r="EMW49" s="159"/>
      <c r="EMX49" s="159"/>
      <c r="EMY49" s="159"/>
      <c r="EMZ49" s="159"/>
      <c r="ENA49" s="159"/>
      <c r="ENB49" s="159"/>
      <c r="ENC49" s="159"/>
      <c r="END49" s="159"/>
      <c r="ENE49" s="159"/>
      <c r="ENF49" s="159"/>
      <c r="ENG49" s="159"/>
      <c r="ENH49" s="159"/>
      <c r="ENI49" s="159"/>
      <c r="ENJ49" s="159"/>
      <c r="ENK49" s="159"/>
      <c r="ENL49" s="159"/>
      <c r="ENM49" s="159"/>
      <c r="ENN49" s="159"/>
      <c r="ENO49" s="159"/>
      <c r="ENP49" s="159"/>
      <c r="ENQ49" s="159"/>
      <c r="ENR49" s="159"/>
      <c r="ENS49" s="159"/>
      <c r="ENT49" s="159"/>
      <c r="ENU49" s="159"/>
      <c r="ENV49" s="159"/>
      <c r="ENW49" s="159"/>
      <c r="ENX49" s="159"/>
      <c r="ENY49" s="159"/>
      <c r="ENZ49" s="159"/>
      <c r="EOA49" s="159"/>
      <c r="EOB49" s="159"/>
      <c r="EOC49" s="159"/>
      <c r="EOD49" s="159"/>
      <c r="EOE49" s="159"/>
      <c r="EOF49" s="159"/>
      <c r="EOG49" s="159"/>
      <c r="EOH49" s="159"/>
      <c r="EOI49" s="159"/>
      <c r="EOJ49" s="159"/>
      <c r="EOK49" s="159"/>
      <c r="EOL49" s="159"/>
      <c r="EOM49" s="159"/>
      <c r="EON49" s="159"/>
      <c r="EOO49" s="159"/>
      <c r="EOP49" s="159"/>
      <c r="EOQ49" s="159"/>
      <c r="EOR49" s="159"/>
      <c r="EOS49" s="159"/>
      <c r="EOT49" s="159"/>
      <c r="EOU49" s="159"/>
      <c r="EOV49" s="159"/>
      <c r="EOW49" s="159"/>
      <c r="EOX49" s="159"/>
      <c r="EOY49" s="159"/>
      <c r="EOZ49" s="159"/>
      <c r="EPA49" s="159"/>
      <c r="EPB49" s="159"/>
      <c r="EPC49" s="159"/>
      <c r="EPD49" s="159"/>
      <c r="EPE49" s="159"/>
      <c r="EPF49" s="159"/>
      <c r="EPG49" s="159"/>
      <c r="EPH49" s="159"/>
      <c r="EPI49" s="159"/>
      <c r="EPJ49" s="159"/>
      <c r="EPK49" s="159"/>
      <c r="EPL49" s="159"/>
      <c r="EPM49" s="159"/>
      <c r="EPN49" s="159"/>
      <c r="EPO49" s="159"/>
      <c r="EPP49" s="159"/>
      <c r="EPQ49" s="159"/>
      <c r="EPR49" s="159"/>
      <c r="EPS49" s="159"/>
      <c r="EPT49" s="159"/>
      <c r="EPU49" s="159"/>
      <c r="EPV49" s="159"/>
      <c r="EPW49" s="159"/>
      <c r="EPX49" s="159"/>
      <c r="EPY49" s="159"/>
      <c r="EPZ49" s="159"/>
      <c r="EQA49" s="159"/>
      <c r="EQB49" s="159"/>
      <c r="EQC49" s="159"/>
      <c r="EQD49" s="159"/>
      <c r="EQE49" s="159"/>
      <c r="EQF49" s="159"/>
      <c r="EQG49" s="159"/>
      <c r="EQH49" s="159"/>
      <c r="EQI49" s="159"/>
      <c r="EQJ49" s="159"/>
      <c r="EQK49" s="159"/>
      <c r="EQL49" s="159"/>
      <c r="EQM49" s="159"/>
      <c r="EQN49" s="159"/>
      <c r="EQO49" s="159"/>
      <c r="EQP49" s="159"/>
      <c r="EQQ49" s="159"/>
      <c r="EQR49" s="159"/>
      <c r="EQS49" s="159"/>
      <c r="EQT49" s="159"/>
      <c r="EQU49" s="159"/>
      <c r="EQV49" s="159"/>
      <c r="EQW49" s="159"/>
      <c r="EQX49" s="159"/>
      <c r="EQY49" s="159"/>
      <c r="EQZ49" s="159"/>
      <c r="ERA49" s="159"/>
      <c r="ERB49" s="159"/>
      <c r="ERC49" s="159"/>
      <c r="ERD49" s="159"/>
      <c r="ERE49" s="159"/>
      <c r="ERF49" s="159"/>
      <c r="ERG49" s="159"/>
      <c r="ERH49" s="159"/>
      <c r="ERI49" s="159"/>
      <c r="ERJ49" s="159"/>
      <c r="ERK49" s="159"/>
      <c r="ERL49" s="159"/>
      <c r="ERM49" s="159"/>
      <c r="ERN49" s="159"/>
      <c r="ERO49" s="159"/>
      <c r="ERP49" s="159"/>
      <c r="ERQ49" s="159"/>
      <c r="ERR49" s="159"/>
      <c r="ERS49" s="159"/>
      <c r="ERT49" s="159"/>
      <c r="ERU49" s="159"/>
      <c r="ERV49" s="159"/>
      <c r="ERW49" s="159"/>
      <c r="ERX49" s="159"/>
      <c r="ERY49" s="159"/>
      <c r="ERZ49" s="159"/>
      <c r="ESA49" s="159"/>
      <c r="ESB49" s="159"/>
      <c r="ESC49" s="159"/>
      <c r="ESD49" s="159"/>
      <c r="ESE49" s="159"/>
      <c r="ESF49" s="159"/>
      <c r="ESG49" s="159"/>
      <c r="ESH49" s="159"/>
      <c r="ESI49" s="159"/>
      <c r="ESJ49" s="159"/>
      <c r="ESK49" s="159"/>
      <c r="ESL49" s="159"/>
      <c r="ESM49" s="159"/>
      <c r="ESN49" s="159"/>
      <c r="ESO49" s="159"/>
      <c r="ESP49" s="159"/>
      <c r="ESQ49" s="159"/>
      <c r="ESR49" s="159"/>
      <c r="ESS49" s="159"/>
      <c r="EST49" s="159"/>
      <c r="ESU49" s="159"/>
      <c r="ESV49" s="159"/>
      <c r="ESW49" s="159"/>
      <c r="ESX49" s="159"/>
      <c r="ESY49" s="159"/>
      <c r="ESZ49" s="159"/>
      <c r="ETA49" s="159"/>
      <c r="ETB49" s="159"/>
      <c r="ETC49" s="159"/>
      <c r="ETD49" s="159"/>
      <c r="ETE49" s="159"/>
      <c r="ETF49" s="159"/>
      <c r="ETG49" s="159"/>
      <c r="ETH49" s="159"/>
      <c r="ETI49" s="159"/>
      <c r="ETJ49" s="159"/>
      <c r="ETK49" s="159"/>
      <c r="ETL49" s="159"/>
      <c r="ETM49" s="159"/>
      <c r="ETN49" s="159"/>
      <c r="ETO49" s="159"/>
      <c r="ETP49" s="159"/>
      <c r="ETQ49" s="159"/>
      <c r="ETR49" s="159"/>
      <c r="ETS49" s="159"/>
      <c r="ETT49" s="159"/>
      <c r="ETU49" s="159"/>
      <c r="ETV49" s="159"/>
      <c r="ETW49" s="159"/>
      <c r="ETX49" s="159"/>
      <c r="ETY49" s="159"/>
      <c r="ETZ49" s="159"/>
      <c r="EUA49" s="159"/>
      <c r="EUB49" s="159"/>
      <c r="EUC49" s="159"/>
      <c r="EUD49" s="159"/>
      <c r="EUE49" s="159"/>
      <c r="EUF49" s="159"/>
      <c r="EUG49" s="159"/>
      <c r="EUH49" s="159"/>
      <c r="EUI49" s="159"/>
      <c r="EUJ49" s="159"/>
      <c r="EUK49" s="159"/>
      <c r="EUL49" s="159"/>
      <c r="EUM49" s="159"/>
      <c r="EUN49" s="159"/>
      <c r="EUO49" s="159"/>
      <c r="EUP49" s="159"/>
      <c r="EUQ49" s="159"/>
      <c r="EUR49" s="159"/>
      <c r="EUS49" s="159"/>
      <c r="EUT49" s="159"/>
      <c r="EUU49" s="159"/>
      <c r="EUV49" s="159"/>
      <c r="EUW49" s="159"/>
      <c r="EUX49" s="159"/>
      <c r="EUY49" s="159"/>
      <c r="EUZ49" s="159"/>
      <c r="EVA49" s="159"/>
      <c r="EVB49" s="159"/>
      <c r="EVC49" s="159"/>
      <c r="EVD49" s="159"/>
      <c r="EVE49" s="159"/>
      <c r="EVF49" s="159"/>
      <c r="EVG49" s="159"/>
      <c r="EVH49" s="159"/>
      <c r="EVI49" s="159"/>
      <c r="EVJ49" s="159"/>
      <c r="EVK49" s="159"/>
      <c r="EVL49" s="159"/>
      <c r="EVM49" s="159"/>
      <c r="EVN49" s="159"/>
      <c r="EVO49" s="159"/>
      <c r="EVP49" s="159"/>
      <c r="EVQ49" s="159"/>
      <c r="EVR49" s="159"/>
      <c r="EVS49" s="159"/>
      <c r="EVT49" s="159"/>
      <c r="EVU49" s="159"/>
      <c r="EVV49" s="159"/>
      <c r="EVW49" s="159"/>
      <c r="EVX49" s="159"/>
      <c r="EVY49" s="159"/>
      <c r="EVZ49" s="159"/>
      <c r="EWA49" s="159"/>
      <c r="EWB49" s="159"/>
      <c r="EWC49" s="159"/>
      <c r="EWD49" s="159"/>
      <c r="EWE49" s="159"/>
      <c r="EWF49" s="159"/>
      <c r="EWG49" s="159"/>
      <c r="EWH49" s="159"/>
      <c r="EWI49" s="159"/>
      <c r="EWJ49" s="159"/>
      <c r="EWK49" s="159"/>
      <c r="EWL49" s="159"/>
      <c r="EWM49" s="159"/>
      <c r="EWN49" s="159"/>
      <c r="EWO49" s="159"/>
      <c r="EWP49" s="159"/>
      <c r="EWQ49" s="159"/>
      <c r="EWR49" s="159"/>
      <c r="EWS49" s="159"/>
      <c r="EWT49" s="159"/>
      <c r="EWU49" s="159"/>
      <c r="EWV49" s="159"/>
      <c r="EWW49" s="159"/>
      <c r="EWX49" s="159"/>
      <c r="EWY49" s="159"/>
      <c r="EWZ49" s="159"/>
      <c r="EXA49" s="159"/>
      <c r="EXB49" s="159"/>
      <c r="EXC49" s="159"/>
      <c r="EXD49" s="159"/>
      <c r="EXE49" s="159"/>
      <c r="EXF49" s="159"/>
      <c r="EXG49" s="159"/>
      <c r="EXH49" s="159"/>
      <c r="EXI49" s="159"/>
      <c r="EXJ49" s="159"/>
      <c r="EXK49" s="159"/>
      <c r="EXL49" s="159"/>
      <c r="EXM49" s="159"/>
      <c r="EXN49" s="159"/>
      <c r="EXO49" s="159"/>
      <c r="EXP49" s="159"/>
      <c r="EXQ49" s="159"/>
      <c r="EXR49" s="159"/>
      <c r="EXS49" s="159"/>
      <c r="EXT49" s="159"/>
      <c r="EXU49" s="159"/>
      <c r="EXV49" s="159"/>
      <c r="EXW49" s="159"/>
      <c r="EXX49" s="159"/>
      <c r="EXY49" s="159"/>
      <c r="EXZ49" s="159"/>
      <c r="EYA49" s="159"/>
      <c r="EYB49" s="159"/>
      <c r="EYC49" s="159"/>
      <c r="EYD49" s="159"/>
      <c r="EYE49" s="159"/>
      <c r="EYF49" s="159"/>
      <c r="EYG49" s="159"/>
      <c r="EYH49" s="159"/>
      <c r="EYI49" s="159"/>
      <c r="EYJ49" s="159"/>
      <c r="EYK49" s="159"/>
      <c r="EYL49" s="159"/>
      <c r="EYM49" s="159"/>
      <c r="EYN49" s="159"/>
      <c r="EYO49" s="159"/>
      <c r="EYP49" s="159"/>
      <c r="EYQ49" s="159"/>
      <c r="EYR49" s="159"/>
      <c r="EYS49" s="159"/>
      <c r="EYT49" s="159"/>
      <c r="EYU49" s="159"/>
      <c r="EYV49" s="159"/>
      <c r="EYW49" s="159"/>
      <c r="EYX49" s="159"/>
      <c r="EYY49" s="159"/>
      <c r="EYZ49" s="159"/>
      <c r="EZA49" s="159"/>
      <c r="EZB49" s="159"/>
      <c r="EZC49" s="159"/>
      <c r="EZD49" s="159"/>
      <c r="EZE49" s="159"/>
      <c r="EZF49" s="159"/>
      <c r="EZG49" s="159"/>
      <c r="EZH49" s="159"/>
      <c r="EZI49" s="159"/>
      <c r="EZJ49" s="159"/>
      <c r="EZK49" s="159"/>
      <c r="EZL49" s="159"/>
      <c r="EZM49" s="159"/>
      <c r="EZN49" s="159"/>
      <c r="EZO49" s="159"/>
      <c r="EZP49" s="159"/>
      <c r="EZQ49" s="159"/>
      <c r="EZR49" s="159"/>
      <c r="EZS49" s="159"/>
      <c r="EZT49" s="159"/>
      <c r="EZU49" s="159"/>
      <c r="EZV49" s="159"/>
      <c r="EZW49" s="159"/>
      <c r="EZX49" s="159"/>
      <c r="EZY49" s="159"/>
      <c r="EZZ49" s="159"/>
      <c r="FAA49" s="159"/>
      <c r="FAB49" s="159"/>
      <c r="FAC49" s="159"/>
      <c r="FAD49" s="159"/>
      <c r="FAE49" s="159"/>
      <c r="FAF49" s="159"/>
      <c r="FAG49" s="159"/>
      <c r="FAH49" s="159"/>
      <c r="FAI49" s="159"/>
      <c r="FAJ49" s="159"/>
      <c r="FAK49" s="159"/>
      <c r="FAL49" s="159"/>
      <c r="FAM49" s="159"/>
      <c r="FAN49" s="159"/>
      <c r="FAO49" s="159"/>
      <c r="FAP49" s="159"/>
      <c r="FAQ49" s="159"/>
      <c r="FAR49" s="159"/>
      <c r="FAS49" s="159"/>
      <c r="FAT49" s="159"/>
      <c r="FAU49" s="159"/>
      <c r="FAV49" s="159"/>
      <c r="FAW49" s="159"/>
      <c r="FAX49" s="159"/>
      <c r="FAY49" s="159"/>
      <c r="FAZ49" s="159"/>
      <c r="FBA49" s="159"/>
      <c r="FBB49" s="159"/>
      <c r="FBC49" s="159"/>
      <c r="FBD49" s="159"/>
      <c r="FBE49" s="159"/>
      <c r="FBF49" s="159"/>
      <c r="FBG49" s="159"/>
      <c r="FBH49" s="159"/>
      <c r="FBI49" s="159"/>
      <c r="FBJ49" s="159"/>
      <c r="FBK49" s="159"/>
      <c r="FBL49" s="159"/>
      <c r="FBM49" s="159"/>
      <c r="FBN49" s="159"/>
      <c r="FBO49" s="159"/>
      <c r="FBP49" s="159"/>
      <c r="FBQ49" s="159"/>
      <c r="FBR49" s="159"/>
      <c r="FBS49" s="159"/>
      <c r="FBT49" s="159"/>
      <c r="FBU49" s="159"/>
      <c r="FBV49" s="159"/>
      <c r="FBW49" s="159"/>
      <c r="FBX49" s="159"/>
      <c r="FBY49" s="159"/>
      <c r="FBZ49" s="159"/>
      <c r="FCA49" s="159"/>
      <c r="FCB49" s="159"/>
      <c r="FCC49" s="159"/>
      <c r="FCD49" s="159"/>
      <c r="FCE49" s="159"/>
      <c r="FCF49" s="159"/>
      <c r="FCG49" s="159"/>
      <c r="FCH49" s="159"/>
      <c r="FCI49" s="159"/>
      <c r="FCJ49" s="159"/>
      <c r="FCK49" s="159"/>
      <c r="FCL49" s="159"/>
      <c r="FCM49" s="159"/>
      <c r="FCN49" s="159"/>
      <c r="FCO49" s="159"/>
      <c r="FCP49" s="159"/>
      <c r="FCQ49" s="159"/>
      <c r="FCR49" s="159"/>
      <c r="FCS49" s="159"/>
      <c r="FCT49" s="159"/>
      <c r="FCU49" s="159"/>
      <c r="FCV49" s="159"/>
      <c r="FCW49" s="159"/>
      <c r="FCX49" s="159"/>
      <c r="FCY49" s="159"/>
      <c r="FCZ49" s="159"/>
      <c r="FDA49" s="159"/>
      <c r="FDB49" s="159"/>
      <c r="FDC49" s="159"/>
      <c r="FDD49" s="159"/>
      <c r="FDE49" s="159"/>
      <c r="FDF49" s="159"/>
      <c r="FDG49" s="159"/>
      <c r="FDH49" s="159"/>
      <c r="FDI49" s="159"/>
      <c r="FDJ49" s="159"/>
      <c r="FDK49" s="159"/>
      <c r="FDL49" s="159"/>
      <c r="FDM49" s="159"/>
      <c r="FDN49" s="159"/>
      <c r="FDO49" s="159"/>
      <c r="FDP49" s="159"/>
      <c r="FDQ49" s="159"/>
      <c r="FDR49" s="159"/>
      <c r="FDS49" s="159"/>
      <c r="FDT49" s="159"/>
      <c r="FDU49" s="159"/>
      <c r="FDV49" s="159"/>
      <c r="FDW49" s="159"/>
      <c r="FDX49" s="159"/>
      <c r="FDY49" s="159"/>
      <c r="FDZ49" s="159"/>
      <c r="FEA49" s="159"/>
      <c r="FEB49" s="159"/>
      <c r="FEC49" s="159"/>
      <c r="FED49" s="159"/>
      <c r="FEE49" s="159"/>
      <c r="FEF49" s="159"/>
      <c r="FEG49" s="159"/>
      <c r="FEH49" s="159"/>
      <c r="FEI49" s="159"/>
      <c r="FEJ49" s="159"/>
      <c r="FEK49" s="159"/>
      <c r="FEL49" s="159"/>
      <c r="FEM49" s="159"/>
      <c r="FEN49" s="159"/>
      <c r="FEO49" s="159"/>
      <c r="FEP49" s="159"/>
      <c r="FEQ49" s="159"/>
      <c r="FER49" s="159"/>
      <c r="FES49" s="159"/>
      <c r="FET49" s="159"/>
      <c r="FEU49" s="159"/>
      <c r="FEV49" s="159"/>
      <c r="FEW49" s="159"/>
      <c r="FEX49" s="159"/>
      <c r="FEY49" s="159"/>
      <c r="FEZ49" s="159"/>
      <c r="FFA49" s="159"/>
      <c r="FFB49" s="159"/>
      <c r="FFC49" s="159"/>
      <c r="FFD49" s="159"/>
      <c r="FFE49" s="159"/>
      <c r="FFF49" s="159"/>
      <c r="FFG49" s="159"/>
      <c r="FFH49" s="159"/>
      <c r="FFI49" s="159"/>
      <c r="FFJ49" s="159"/>
      <c r="FFK49" s="159"/>
      <c r="FFL49" s="159"/>
      <c r="FFM49" s="159"/>
      <c r="FFN49" s="159"/>
      <c r="FFO49" s="159"/>
      <c r="FFP49" s="159"/>
      <c r="FFQ49" s="159"/>
      <c r="FFR49" s="159"/>
      <c r="FFS49" s="159"/>
      <c r="FFT49" s="159"/>
      <c r="FFU49" s="159"/>
      <c r="FFV49" s="159"/>
      <c r="FFW49" s="159"/>
      <c r="FFX49" s="159"/>
      <c r="FFY49" s="159"/>
      <c r="FFZ49" s="159"/>
      <c r="FGA49" s="159"/>
      <c r="FGB49" s="159"/>
      <c r="FGC49" s="159"/>
      <c r="FGD49" s="159"/>
      <c r="FGE49" s="159"/>
      <c r="FGF49" s="159"/>
      <c r="FGG49" s="159"/>
      <c r="FGH49" s="159"/>
      <c r="FGI49" s="159"/>
      <c r="FGJ49" s="159"/>
      <c r="FGK49" s="159"/>
      <c r="FGL49" s="159"/>
      <c r="FGM49" s="159"/>
      <c r="FGN49" s="159"/>
      <c r="FGO49" s="159"/>
      <c r="FGP49" s="159"/>
      <c r="FGQ49" s="159"/>
      <c r="FGR49" s="159"/>
      <c r="FGS49" s="159"/>
      <c r="FGT49" s="159"/>
      <c r="FGU49" s="159"/>
      <c r="FGV49" s="159"/>
      <c r="FGW49" s="159"/>
      <c r="FGX49" s="159"/>
      <c r="FGY49" s="159"/>
      <c r="FGZ49" s="159"/>
      <c r="FHA49" s="159"/>
      <c r="FHB49" s="159"/>
      <c r="FHC49" s="159"/>
      <c r="FHD49" s="159"/>
      <c r="FHE49" s="159"/>
      <c r="FHF49" s="159"/>
      <c r="FHG49" s="159"/>
      <c r="FHH49" s="159"/>
      <c r="FHI49" s="159"/>
      <c r="FHJ49" s="159"/>
      <c r="FHK49" s="159"/>
      <c r="FHL49" s="159"/>
      <c r="FHM49" s="159"/>
      <c r="FHN49" s="159"/>
      <c r="FHO49" s="159"/>
      <c r="FHP49" s="159"/>
      <c r="FHQ49" s="159"/>
      <c r="FHR49" s="159"/>
      <c r="FHS49" s="159"/>
      <c r="FHT49" s="159"/>
      <c r="FHU49" s="159"/>
      <c r="FHV49" s="159"/>
      <c r="FHW49" s="159"/>
      <c r="FHX49" s="159"/>
      <c r="FHY49" s="159"/>
      <c r="FHZ49" s="159"/>
      <c r="FIA49" s="159"/>
      <c r="FIB49" s="159"/>
      <c r="FIC49" s="159"/>
      <c r="FID49" s="159"/>
      <c r="FIE49" s="159"/>
      <c r="FIF49" s="159"/>
      <c r="FIG49" s="159"/>
      <c r="FIH49" s="159"/>
      <c r="FII49" s="159"/>
      <c r="FIJ49" s="159"/>
      <c r="FIK49" s="159"/>
      <c r="FIL49" s="159"/>
      <c r="FIM49" s="159"/>
      <c r="FIN49" s="159"/>
      <c r="FIO49" s="159"/>
      <c r="FIP49" s="159"/>
      <c r="FIQ49" s="159"/>
      <c r="FIR49" s="159"/>
      <c r="FIS49" s="159"/>
      <c r="FIT49" s="159"/>
      <c r="FIU49" s="159"/>
      <c r="FIV49" s="159"/>
      <c r="FIW49" s="159"/>
      <c r="FIX49" s="159"/>
      <c r="FIY49" s="159"/>
      <c r="FIZ49" s="159"/>
      <c r="FJA49" s="159"/>
      <c r="FJB49" s="159"/>
      <c r="FJC49" s="159"/>
      <c r="FJD49" s="159"/>
      <c r="FJE49" s="159"/>
      <c r="FJF49" s="159"/>
      <c r="FJG49" s="159"/>
      <c r="FJH49" s="159"/>
      <c r="FJI49" s="159"/>
      <c r="FJJ49" s="159"/>
      <c r="FJK49" s="159"/>
      <c r="FJL49" s="159"/>
      <c r="FJM49" s="159"/>
      <c r="FJN49" s="159"/>
      <c r="FJO49" s="159"/>
      <c r="FJP49" s="159"/>
      <c r="FJQ49" s="159"/>
      <c r="FJR49" s="159"/>
      <c r="FJS49" s="159"/>
      <c r="FJT49" s="159"/>
      <c r="FJU49" s="159"/>
      <c r="FJV49" s="159"/>
      <c r="FJW49" s="159"/>
      <c r="FJX49" s="159"/>
      <c r="FJY49" s="159"/>
      <c r="FJZ49" s="159"/>
      <c r="FKA49" s="159"/>
      <c r="FKB49" s="159"/>
      <c r="FKC49" s="159"/>
      <c r="FKD49" s="159"/>
      <c r="FKE49" s="159"/>
      <c r="FKF49" s="159"/>
      <c r="FKG49" s="159"/>
      <c r="FKH49" s="159"/>
      <c r="FKI49" s="159"/>
      <c r="FKJ49" s="159"/>
      <c r="FKK49" s="159"/>
      <c r="FKL49" s="159"/>
      <c r="FKM49" s="159"/>
      <c r="FKN49" s="159"/>
      <c r="FKO49" s="159"/>
      <c r="FKP49" s="159"/>
      <c r="FKQ49" s="159"/>
      <c r="FKR49" s="159"/>
      <c r="FKS49" s="159"/>
      <c r="FKT49" s="159"/>
      <c r="FKU49" s="159"/>
      <c r="FKV49" s="159"/>
      <c r="FKW49" s="159"/>
      <c r="FKX49" s="159"/>
      <c r="FKY49" s="159"/>
      <c r="FKZ49" s="159"/>
      <c r="FLA49" s="159"/>
      <c r="FLB49" s="159"/>
      <c r="FLC49" s="159"/>
      <c r="FLD49" s="159"/>
      <c r="FLE49" s="159"/>
      <c r="FLF49" s="159"/>
      <c r="FLG49" s="159"/>
      <c r="FLH49" s="159"/>
      <c r="FLI49" s="159"/>
      <c r="FLJ49" s="159"/>
      <c r="FLK49" s="159"/>
      <c r="FLL49" s="159"/>
      <c r="FLM49" s="159"/>
      <c r="FLN49" s="159"/>
      <c r="FLO49" s="159"/>
      <c r="FLP49" s="159"/>
      <c r="FLQ49" s="159"/>
      <c r="FLR49" s="159"/>
      <c r="FLS49" s="159"/>
      <c r="FLT49" s="159"/>
      <c r="FLU49" s="159"/>
      <c r="FLV49" s="159"/>
      <c r="FLW49" s="159"/>
      <c r="FLX49" s="159"/>
      <c r="FLY49" s="159"/>
      <c r="FLZ49" s="159"/>
      <c r="FMA49" s="159"/>
      <c r="FMB49" s="159"/>
      <c r="FMC49" s="159"/>
      <c r="FMD49" s="159"/>
      <c r="FME49" s="159"/>
      <c r="FMF49" s="159"/>
      <c r="FMG49" s="159"/>
      <c r="FMH49" s="159"/>
      <c r="FMI49" s="159"/>
      <c r="FMJ49" s="159"/>
      <c r="FMK49" s="159"/>
      <c r="FML49" s="159"/>
      <c r="FMM49" s="159"/>
      <c r="FMN49" s="159"/>
      <c r="FMO49" s="159"/>
      <c r="FMP49" s="159"/>
      <c r="FMQ49" s="159"/>
      <c r="FMR49" s="159"/>
      <c r="FMS49" s="159"/>
      <c r="FMT49" s="159"/>
      <c r="FMU49" s="159"/>
      <c r="FMV49" s="159"/>
      <c r="FMW49" s="159"/>
      <c r="FMX49" s="159"/>
      <c r="FMY49" s="159"/>
      <c r="FMZ49" s="159"/>
      <c r="FNA49" s="159"/>
      <c r="FNB49" s="159"/>
      <c r="FNC49" s="159"/>
      <c r="FND49" s="159"/>
      <c r="FNE49" s="159"/>
      <c r="FNF49" s="159"/>
      <c r="FNG49" s="159"/>
      <c r="FNH49" s="159"/>
      <c r="FNI49" s="159"/>
      <c r="FNJ49" s="159"/>
      <c r="FNK49" s="159"/>
      <c r="FNL49" s="159"/>
      <c r="FNM49" s="159"/>
      <c r="FNN49" s="159"/>
      <c r="FNO49" s="159"/>
      <c r="FNP49" s="159"/>
      <c r="FNQ49" s="159"/>
      <c r="FNR49" s="159"/>
      <c r="FNS49" s="159"/>
      <c r="FNT49" s="159"/>
      <c r="FNU49" s="159"/>
      <c r="FNV49" s="159"/>
      <c r="FNW49" s="159"/>
      <c r="FNX49" s="159"/>
      <c r="FNY49" s="159"/>
      <c r="FNZ49" s="159"/>
      <c r="FOA49" s="159"/>
      <c r="FOB49" s="159"/>
      <c r="FOC49" s="159"/>
      <c r="FOD49" s="159"/>
      <c r="FOE49" s="159"/>
      <c r="FOF49" s="159"/>
      <c r="FOG49" s="159"/>
      <c r="FOH49" s="159"/>
      <c r="FOI49" s="159"/>
      <c r="FOJ49" s="159"/>
      <c r="FOK49" s="159"/>
      <c r="FOL49" s="159"/>
      <c r="FOM49" s="159"/>
      <c r="FON49" s="159"/>
      <c r="FOO49" s="159"/>
      <c r="FOP49" s="159"/>
      <c r="FOQ49" s="159"/>
      <c r="FOR49" s="159"/>
      <c r="FOS49" s="159"/>
      <c r="FOT49" s="159"/>
      <c r="FOU49" s="159"/>
      <c r="FOV49" s="159"/>
      <c r="FOW49" s="159"/>
      <c r="FOX49" s="159"/>
      <c r="FOY49" s="159"/>
      <c r="FOZ49" s="159"/>
      <c r="FPA49" s="159"/>
      <c r="FPB49" s="159"/>
      <c r="FPC49" s="159"/>
      <c r="FPD49" s="159"/>
      <c r="FPE49" s="159"/>
      <c r="FPF49" s="159"/>
      <c r="FPG49" s="159"/>
      <c r="FPH49" s="159"/>
      <c r="FPI49" s="159"/>
      <c r="FPJ49" s="159"/>
      <c r="FPK49" s="159"/>
      <c r="FPL49" s="159"/>
      <c r="FPM49" s="159"/>
      <c r="FPN49" s="159"/>
      <c r="FPO49" s="159"/>
      <c r="FPP49" s="159"/>
      <c r="FPQ49" s="159"/>
      <c r="FPR49" s="159"/>
      <c r="FPS49" s="159"/>
      <c r="FPT49" s="159"/>
      <c r="FPU49" s="159"/>
      <c r="FPV49" s="159"/>
      <c r="FPW49" s="159"/>
      <c r="FPX49" s="159"/>
      <c r="FPY49" s="159"/>
      <c r="FPZ49" s="159"/>
      <c r="FQA49" s="159"/>
      <c r="FQB49" s="159"/>
      <c r="FQC49" s="159"/>
      <c r="FQD49" s="159"/>
      <c r="FQE49" s="159"/>
      <c r="FQF49" s="159"/>
      <c r="FQG49" s="159"/>
      <c r="FQH49" s="159"/>
      <c r="FQI49" s="159"/>
      <c r="FQJ49" s="159"/>
      <c r="FQK49" s="159"/>
      <c r="FQL49" s="159"/>
      <c r="FQM49" s="159"/>
      <c r="FQN49" s="159"/>
      <c r="FQO49" s="159"/>
      <c r="FQP49" s="159"/>
      <c r="FQQ49" s="159"/>
      <c r="FQR49" s="159"/>
      <c r="FQS49" s="159"/>
      <c r="FQT49" s="159"/>
      <c r="FQU49" s="159"/>
      <c r="FQV49" s="159"/>
      <c r="FQW49" s="159"/>
      <c r="FQX49" s="159"/>
      <c r="FQY49" s="159"/>
      <c r="FQZ49" s="159"/>
      <c r="FRA49" s="159"/>
      <c r="FRB49" s="159"/>
      <c r="FRC49" s="159"/>
      <c r="FRD49" s="159"/>
      <c r="FRE49" s="159"/>
      <c r="FRF49" s="159"/>
      <c r="FRG49" s="159"/>
      <c r="FRH49" s="159"/>
      <c r="FRI49" s="159"/>
      <c r="FRJ49" s="159"/>
      <c r="FRK49" s="159"/>
      <c r="FRL49" s="159"/>
      <c r="FRM49" s="159"/>
      <c r="FRN49" s="159"/>
      <c r="FRO49" s="159"/>
      <c r="FRP49" s="159"/>
      <c r="FRQ49" s="159"/>
      <c r="FRR49" s="159"/>
      <c r="FRS49" s="159"/>
      <c r="FRT49" s="159"/>
      <c r="FRU49" s="159"/>
      <c r="FRV49" s="159"/>
      <c r="FRW49" s="159"/>
      <c r="FRX49" s="159"/>
      <c r="FRY49" s="159"/>
      <c r="FRZ49" s="159"/>
      <c r="FSA49" s="159"/>
      <c r="FSB49" s="159"/>
      <c r="FSC49" s="159"/>
      <c r="FSD49" s="159"/>
      <c r="FSE49" s="159"/>
      <c r="FSF49" s="159"/>
      <c r="FSG49" s="159"/>
      <c r="FSH49" s="159"/>
      <c r="FSI49" s="159"/>
      <c r="FSJ49" s="159"/>
      <c r="FSK49" s="159"/>
      <c r="FSL49" s="159"/>
      <c r="FSM49" s="159"/>
      <c r="FSN49" s="159"/>
      <c r="FSO49" s="159"/>
      <c r="FSP49" s="159"/>
      <c r="FSQ49" s="159"/>
      <c r="FSR49" s="159"/>
      <c r="FSS49" s="159"/>
      <c r="FST49" s="159"/>
      <c r="FSU49" s="159"/>
      <c r="FSV49" s="159"/>
      <c r="FSW49" s="159"/>
      <c r="FSX49" s="159"/>
      <c r="FSY49" s="159"/>
      <c r="FSZ49" s="159"/>
      <c r="FTA49" s="159"/>
      <c r="FTB49" s="159"/>
      <c r="FTC49" s="159"/>
      <c r="FTD49" s="159"/>
      <c r="FTE49" s="159"/>
      <c r="FTF49" s="159"/>
      <c r="FTG49" s="159"/>
      <c r="FTH49" s="159"/>
      <c r="FTI49" s="159"/>
      <c r="FTJ49" s="159"/>
      <c r="FTK49" s="159"/>
      <c r="FTL49" s="159"/>
      <c r="FTM49" s="159"/>
      <c r="FTN49" s="159"/>
      <c r="FTO49" s="159"/>
      <c r="FTP49" s="159"/>
      <c r="FTQ49" s="159"/>
      <c r="FTR49" s="159"/>
      <c r="FTS49" s="159"/>
      <c r="FTT49" s="159"/>
      <c r="FTU49" s="159"/>
      <c r="FTV49" s="159"/>
      <c r="FTW49" s="159"/>
      <c r="FTX49" s="159"/>
      <c r="FTY49" s="159"/>
      <c r="FTZ49" s="159"/>
      <c r="FUA49" s="159"/>
      <c r="FUB49" s="159"/>
      <c r="FUC49" s="159"/>
      <c r="FUD49" s="159"/>
      <c r="FUE49" s="159"/>
      <c r="FUF49" s="159"/>
      <c r="FUG49" s="159"/>
      <c r="FUH49" s="159"/>
      <c r="FUI49" s="159"/>
      <c r="FUJ49" s="159"/>
      <c r="FUK49" s="159"/>
      <c r="FUL49" s="159"/>
      <c r="FUM49" s="159"/>
      <c r="FUN49" s="159"/>
      <c r="FUO49" s="159"/>
      <c r="FUP49" s="159"/>
      <c r="FUQ49" s="159"/>
      <c r="FUR49" s="159"/>
      <c r="FUS49" s="159"/>
      <c r="FUT49" s="159"/>
      <c r="FUU49" s="159"/>
      <c r="FUV49" s="159"/>
      <c r="FUW49" s="159"/>
      <c r="FUX49" s="159"/>
      <c r="FUY49" s="159"/>
      <c r="FUZ49" s="159"/>
      <c r="FVA49" s="159"/>
      <c r="FVB49" s="159"/>
      <c r="FVC49" s="159"/>
      <c r="FVD49" s="159"/>
      <c r="FVE49" s="159"/>
      <c r="FVF49" s="159"/>
      <c r="FVG49" s="159"/>
      <c r="FVH49" s="159"/>
      <c r="FVI49" s="159"/>
      <c r="FVJ49" s="159"/>
      <c r="FVK49" s="159"/>
      <c r="FVL49" s="159"/>
      <c r="FVM49" s="159"/>
      <c r="FVN49" s="159"/>
      <c r="FVO49" s="159"/>
      <c r="FVP49" s="159"/>
      <c r="FVQ49" s="159"/>
      <c r="FVR49" s="159"/>
      <c r="FVS49" s="159"/>
      <c r="FVT49" s="159"/>
      <c r="FVU49" s="159"/>
      <c r="FVV49" s="159"/>
      <c r="FVW49" s="159"/>
      <c r="FVX49" s="159"/>
      <c r="FVY49" s="159"/>
      <c r="FVZ49" s="159"/>
      <c r="FWA49" s="159"/>
      <c r="FWB49" s="159"/>
      <c r="FWC49" s="159"/>
      <c r="FWD49" s="159"/>
      <c r="FWE49" s="159"/>
      <c r="FWF49" s="159"/>
      <c r="FWG49" s="159"/>
      <c r="FWH49" s="159"/>
      <c r="FWI49" s="159"/>
      <c r="FWJ49" s="159"/>
      <c r="FWK49" s="159"/>
      <c r="FWL49" s="159"/>
      <c r="FWM49" s="159"/>
      <c r="FWN49" s="159"/>
      <c r="FWO49" s="159"/>
      <c r="FWP49" s="159"/>
      <c r="FWQ49" s="159"/>
      <c r="FWR49" s="159"/>
      <c r="FWS49" s="159"/>
      <c r="FWT49" s="159"/>
      <c r="FWU49" s="159"/>
      <c r="FWV49" s="159"/>
      <c r="FWW49" s="159"/>
      <c r="FWX49" s="159"/>
      <c r="FWY49" s="159"/>
      <c r="FWZ49" s="159"/>
      <c r="FXA49" s="159"/>
      <c r="FXB49" s="159"/>
      <c r="FXC49" s="159"/>
      <c r="FXD49" s="159"/>
      <c r="FXE49" s="159"/>
      <c r="FXF49" s="159"/>
      <c r="FXG49" s="159"/>
      <c r="FXH49" s="159"/>
      <c r="FXI49" s="159"/>
      <c r="FXJ49" s="159"/>
      <c r="FXK49" s="159"/>
      <c r="FXL49" s="159"/>
      <c r="FXM49" s="159"/>
      <c r="FXN49" s="159"/>
      <c r="FXO49" s="159"/>
      <c r="FXP49" s="159"/>
      <c r="FXQ49" s="159"/>
      <c r="FXR49" s="159"/>
      <c r="FXS49" s="159"/>
      <c r="FXT49" s="159"/>
      <c r="FXU49" s="159"/>
      <c r="FXV49" s="159"/>
      <c r="FXW49" s="159"/>
      <c r="FXX49" s="159"/>
      <c r="FXY49" s="159"/>
      <c r="FXZ49" s="159"/>
      <c r="FYA49" s="159"/>
      <c r="FYB49" s="159"/>
      <c r="FYC49" s="159"/>
      <c r="FYD49" s="159"/>
      <c r="FYE49" s="159"/>
      <c r="FYF49" s="159"/>
      <c r="FYG49" s="159"/>
      <c r="FYH49" s="159"/>
      <c r="FYI49" s="159"/>
      <c r="FYJ49" s="159"/>
      <c r="FYK49" s="159"/>
      <c r="FYL49" s="159"/>
      <c r="FYM49" s="159"/>
      <c r="FYN49" s="159"/>
      <c r="FYO49" s="159"/>
      <c r="FYP49" s="159"/>
      <c r="FYQ49" s="159"/>
      <c r="FYR49" s="159"/>
      <c r="FYS49" s="159"/>
      <c r="FYT49" s="159"/>
      <c r="FYU49" s="159"/>
      <c r="FYV49" s="159"/>
      <c r="FYW49" s="159"/>
      <c r="FYX49" s="159"/>
      <c r="FYY49" s="159"/>
      <c r="FYZ49" s="159"/>
      <c r="FZA49" s="159"/>
      <c r="FZB49" s="159"/>
      <c r="FZC49" s="159"/>
      <c r="FZD49" s="159"/>
      <c r="FZE49" s="159"/>
      <c r="FZF49" s="159"/>
      <c r="FZG49" s="159"/>
      <c r="FZH49" s="159"/>
      <c r="FZI49" s="159"/>
      <c r="FZJ49" s="159"/>
      <c r="FZK49" s="159"/>
      <c r="FZL49" s="159"/>
      <c r="FZM49" s="159"/>
      <c r="FZN49" s="159"/>
      <c r="FZO49" s="159"/>
      <c r="FZP49" s="159"/>
      <c r="FZQ49" s="159"/>
      <c r="FZR49" s="159"/>
      <c r="FZS49" s="159"/>
      <c r="FZT49" s="159"/>
      <c r="FZU49" s="159"/>
      <c r="FZV49" s="159"/>
      <c r="FZW49" s="159"/>
      <c r="FZX49" s="159"/>
      <c r="FZY49" s="159"/>
      <c r="FZZ49" s="159"/>
      <c r="GAA49" s="159"/>
      <c r="GAB49" s="159"/>
      <c r="GAC49" s="159"/>
      <c r="GAD49" s="159"/>
      <c r="GAE49" s="159"/>
      <c r="GAF49" s="159"/>
      <c r="GAG49" s="159"/>
      <c r="GAH49" s="159"/>
      <c r="GAI49" s="159"/>
      <c r="GAJ49" s="159"/>
      <c r="GAK49" s="159"/>
      <c r="GAL49" s="159"/>
      <c r="GAM49" s="159"/>
      <c r="GAN49" s="159"/>
      <c r="GAO49" s="159"/>
      <c r="GAP49" s="159"/>
      <c r="GAQ49" s="159"/>
      <c r="GAR49" s="159"/>
      <c r="GAS49" s="159"/>
      <c r="GAT49" s="159"/>
      <c r="GAU49" s="159"/>
      <c r="GAV49" s="159"/>
      <c r="GAW49" s="159"/>
      <c r="GAX49" s="159"/>
      <c r="GAY49" s="159"/>
      <c r="GAZ49" s="159"/>
      <c r="GBA49" s="159"/>
      <c r="GBB49" s="159"/>
      <c r="GBC49" s="159"/>
      <c r="GBD49" s="159"/>
      <c r="GBE49" s="159"/>
      <c r="GBF49" s="159"/>
      <c r="GBG49" s="159"/>
      <c r="GBH49" s="159"/>
      <c r="GBI49" s="159"/>
      <c r="GBJ49" s="159"/>
      <c r="GBK49" s="159"/>
      <c r="GBL49" s="159"/>
      <c r="GBM49" s="159"/>
      <c r="GBN49" s="159"/>
      <c r="GBO49" s="159"/>
      <c r="GBP49" s="159"/>
      <c r="GBQ49" s="159"/>
      <c r="GBR49" s="159"/>
      <c r="GBS49" s="159"/>
      <c r="GBT49" s="159"/>
      <c r="GBU49" s="159"/>
      <c r="GBV49" s="159"/>
      <c r="GBW49" s="159"/>
      <c r="GBX49" s="159"/>
      <c r="GBY49" s="159"/>
      <c r="GBZ49" s="159"/>
      <c r="GCA49" s="159"/>
      <c r="GCB49" s="159"/>
      <c r="GCC49" s="159"/>
      <c r="GCD49" s="159"/>
      <c r="GCE49" s="159"/>
      <c r="GCF49" s="159"/>
      <c r="GCG49" s="159"/>
      <c r="GCH49" s="159"/>
      <c r="GCI49" s="159"/>
      <c r="GCJ49" s="159"/>
      <c r="GCK49" s="159"/>
      <c r="GCL49" s="159"/>
      <c r="GCM49" s="159"/>
      <c r="GCN49" s="159"/>
      <c r="GCO49" s="159"/>
      <c r="GCP49" s="159"/>
      <c r="GCQ49" s="159"/>
      <c r="GCR49" s="159"/>
      <c r="GCS49" s="159"/>
      <c r="GCT49" s="159"/>
      <c r="GCU49" s="159"/>
      <c r="GCV49" s="159"/>
      <c r="GCW49" s="159"/>
      <c r="GCX49" s="159"/>
      <c r="GCY49" s="159"/>
      <c r="GCZ49" s="159"/>
      <c r="GDA49" s="159"/>
      <c r="GDB49" s="159"/>
      <c r="GDC49" s="159"/>
      <c r="GDD49" s="159"/>
      <c r="GDE49" s="159"/>
      <c r="GDF49" s="159"/>
      <c r="GDG49" s="159"/>
      <c r="GDH49" s="159"/>
      <c r="GDI49" s="159"/>
      <c r="GDJ49" s="159"/>
      <c r="GDK49" s="159"/>
      <c r="GDL49" s="159"/>
      <c r="GDM49" s="159"/>
      <c r="GDN49" s="159"/>
      <c r="GDO49" s="159"/>
      <c r="GDP49" s="159"/>
      <c r="GDQ49" s="159"/>
      <c r="GDR49" s="159"/>
      <c r="GDS49" s="159"/>
      <c r="GDT49" s="159"/>
      <c r="GDU49" s="159"/>
      <c r="GDV49" s="159"/>
      <c r="GDW49" s="159"/>
      <c r="GDX49" s="159"/>
      <c r="GDY49" s="159"/>
      <c r="GDZ49" s="159"/>
      <c r="GEA49" s="159"/>
      <c r="GEB49" s="159"/>
      <c r="GEC49" s="159"/>
      <c r="GED49" s="159"/>
      <c r="GEE49" s="159"/>
      <c r="GEF49" s="159"/>
      <c r="GEG49" s="159"/>
      <c r="GEH49" s="159"/>
      <c r="GEI49" s="159"/>
      <c r="GEJ49" s="159"/>
      <c r="GEK49" s="159"/>
      <c r="GEL49" s="159"/>
      <c r="GEM49" s="159"/>
      <c r="GEN49" s="159"/>
      <c r="GEO49" s="159"/>
      <c r="GEP49" s="159"/>
      <c r="GEQ49" s="159"/>
      <c r="GER49" s="159"/>
      <c r="GES49" s="159"/>
      <c r="GET49" s="159"/>
      <c r="GEU49" s="159"/>
      <c r="GEV49" s="159"/>
      <c r="GEW49" s="159"/>
      <c r="GEX49" s="159"/>
      <c r="GEY49" s="159"/>
      <c r="GEZ49" s="159"/>
      <c r="GFA49" s="159"/>
      <c r="GFB49" s="159"/>
      <c r="GFC49" s="159"/>
      <c r="GFD49" s="159"/>
      <c r="GFE49" s="159"/>
      <c r="GFF49" s="159"/>
      <c r="GFG49" s="159"/>
      <c r="GFH49" s="159"/>
      <c r="GFI49" s="159"/>
      <c r="GFJ49" s="159"/>
      <c r="GFK49" s="159"/>
      <c r="GFL49" s="159"/>
      <c r="GFM49" s="159"/>
      <c r="GFN49" s="159"/>
      <c r="GFO49" s="159"/>
      <c r="GFP49" s="159"/>
      <c r="GFQ49" s="159"/>
      <c r="GFR49" s="159"/>
      <c r="GFS49" s="159"/>
      <c r="GFT49" s="159"/>
      <c r="GFU49" s="159"/>
      <c r="GFV49" s="159"/>
      <c r="GFW49" s="159"/>
      <c r="GFX49" s="159"/>
      <c r="GFY49" s="159"/>
      <c r="GFZ49" s="159"/>
      <c r="GGA49" s="159"/>
      <c r="GGB49" s="159"/>
      <c r="GGC49" s="159"/>
      <c r="GGD49" s="159"/>
      <c r="GGE49" s="159"/>
      <c r="GGF49" s="159"/>
      <c r="GGG49" s="159"/>
      <c r="GGH49" s="159"/>
      <c r="GGI49" s="159"/>
      <c r="GGJ49" s="159"/>
      <c r="GGK49" s="159"/>
      <c r="GGL49" s="159"/>
      <c r="GGM49" s="159"/>
      <c r="GGN49" s="159"/>
      <c r="GGO49" s="159"/>
      <c r="GGP49" s="159"/>
      <c r="GGQ49" s="159"/>
      <c r="GGR49" s="159"/>
      <c r="GGS49" s="159"/>
      <c r="GGT49" s="159"/>
      <c r="GGU49" s="159"/>
      <c r="GGV49" s="159"/>
      <c r="GGW49" s="159"/>
      <c r="GGX49" s="159"/>
      <c r="GGY49" s="159"/>
      <c r="GGZ49" s="159"/>
      <c r="GHA49" s="159"/>
      <c r="GHB49" s="159"/>
      <c r="GHC49" s="159"/>
      <c r="GHD49" s="159"/>
      <c r="GHE49" s="159"/>
      <c r="GHF49" s="159"/>
      <c r="GHG49" s="159"/>
      <c r="GHH49" s="159"/>
      <c r="GHI49" s="159"/>
      <c r="GHJ49" s="159"/>
      <c r="GHK49" s="159"/>
      <c r="GHL49" s="159"/>
      <c r="GHM49" s="159"/>
      <c r="GHN49" s="159"/>
      <c r="GHO49" s="159"/>
      <c r="GHP49" s="159"/>
      <c r="GHQ49" s="159"/>
      <c r="GHR49" s="159"/>
      <c r="GHS49" s="159"/>
      <c r="GHT49" s="159"/>
      <c r="GHU49" s="159"/>
      <c r="GHV49" s="159"/>
      <c r="GHW49" s="159"/>
      <c r="GHX49" s="159"/>
      <c r="GHY49" s="159"/>
      <c r="GHZ49" s="159"/>
      <c r="GIA49" s="159"/>
      <c r="GIB49" s="159"/>
      <c r="GIC49" s="159"/>
      <c r="GID49" s="159"/>
      <c r="GIE49" s="159"/>
      <c r="GIF49" s="159"/>
      <c r="GIG49" s="159"/>
      <c r="GIH49" s="159"/>
      <c r="GII49" s="159"/>
      <c r="GIJ49" s="159"/>
      <c r="GIK49" s="159"/>
      <c r="GIL49" s="159"/>
      <c r="GIM49" s="159"/>
      <c r="GIN49" s="159"/>
      <c r="GIO49" s="159"/>
      <c r="GIP49" s="159"/>
      <c r="GIQ49" s="159"/>
      <c r="GIR49" s="159"/>
      <c r="GIS49" s="159"/>
      <c r="GIT49" s="159"/>
      <c r="GIU49" s="159"/>
      <c r="GIV49" s="159"/>
      <c r="GIW49" s="159"/>
      <c r="GIX49" s="159"/>
      <c r="GIY49" s="159"/>
      <c r="GIZ49" s="159"/>
      <c r="GJA49" s="159"/>
      <c r="GJB49" s="159"/>
      <c r="GJC49" s="159"/>
      <c r="GJD49" s="159"/>
      <c r="GJE49" s="159"/>
      <c r="GJF49" s="159"/>
      <c r="GJG49" s="159"/>
      <c r="GJH49" s="159"/>
      <c r="GJI49" s="159"/>
      <c r="GJJ49" s="159"/>
      <c r="GJK49" s="159"/>
      <c r="GJL49" s="159"/>
      <c r="GJM49" s="159"/>
      <c r="GJN49" s="159"/>
      <c r="GJO49" s="159"/>
      <c r="GJP49" s="159"/>
      <c r="GJQ49" s="159"/>
      <c r="GJR49" s="159"/>
      <c r="GJS49" s="159"/>
      <c r="GJT49" s="159"/>
      <c r="GJU49" s="159"/>
      <c r="GJV49" s="159"/>
      <c r="GJW49" s="159"/>
      <c r="GJX49" s="159"/>
      <c r="GJY49" s="159"/>
      <c r="GJZ49" s="159"/>
      <c r="GKA49" s="159"/>
      <c r="GKB49" s="159"/>
      <c r="GKC49" s="159"/>
      <c r="GKD49" s="159"/>
      <c r="GKE49" s="159"/>
      <c r="GKF49" s="159"/>
      <c r="GKG49" s="159"/>
      <c r="GKH49" s="159"/>
      <c r="GKI49" s="159"/>
      <c r="GKJ49" s="159"/>
      <c r="GKK49" s="159"/>
      <c r="GKL49" s="159"/>
      <c r="GKM49" s="159"/>
      <c r="GKN49" s="159"/>
      <c r="GKO49" s="159"/>
      <c r="GKP49" s="159"/>
      <c r="GKQ49" s="159"/>
      <c r="GKR49" s="159"/>
      <c r="GKS49" s="159"/>
      <c r="GKT49" s="159"/>
      <c r="GKU49" s="159"/>
      <c r="GKV49" s="159"/>
      <c r="GKW49" s="159"/>
      <c r="GKX49" s="159"/>
      <c r="GKY49" s="159"/>
      <c r="GKZ49" s="159"/>
      <c r="GLA49" s="159"/>
      <c r="GLB49" s="159"/>
      <c r="GLC49" s="159"/>
      <c r="GLD49" s="159"/>
      <c r="GLE49" s="159"/>
      <c r="GLF49" s="159"/>
      <c r="GLG49" s="159"/>
      <c r="GLH49" s="159"/>
      <c r="GLI49" s="159"/>
      <c r="GLJ49" s="159"/>
      <c r="GLK49" s="159"/>
      <c r="GLL49" s="159"/>
      <c r="GLM49" s="159"/>
      <c r="GLN49" s="159"/>
      <c r="GLO49" s="159"/>
      <c r="GLP49" s="159"/>
      <c r="GLQ49" s="159"/>
      <c r="GLR49" s="159"/>
      <c r="GLS49" s="159"/>
      <c r="GLT49" s="159"/>
      <c r="GLU49" s="159"/>
      <c r="GLV49" s="159"/>
      <c r="GLW49" s="159"/>
      <c r="GLX49" s="159"/>
      <c r="GLY49" s="159"/>
      <c r="GLZ49" s="159"/>
      <c r="GMA49" s="159"/>
      <c r="GMB49" s="159"/>
      <c r="GMC49" s="159"/>
      <c r="GMD49" s="159"/>
      <c r="GME49" s="159"/>
      <c r="GMF49" s="159"/>
      <c r="GMG49" s="159"/>
      <c r="GMH49" s="159"/>
      <c r="GMI49" s="159"/>
      <c r="GMJ49" s="159"/>
      <c r="GMK49" s="159"/>
      <c r="GML49" s="159"/>
      <c r="GMM49" s="159"/>
      <c r="GMN49" s="159"/>
      <c r="GMO49" s="159"/>
      <c r="GMP49" s="159"/>
      <c r="GMQ49" s="159"/>
      <c r="GMR49" s="159"/>
      <c r="GMS49" s="159"/>
      <c r="GMT49" s="159"/>
      <c r="GMU49" s="159"/>
      <c r="GMV49" s="159"/>
      <c r="GMW49" s="159"/>
      <c r="GMX49" s="159"/>
      <c r="GMY49" s="159"/>
      <c r="GMZ49" s="159"/>
      <c r="GNA49" s="159"/>
      <c r="GNB49" s="159"/>
      <c r="GNC49" s="159"/>
      <c r="GND49" s="159"/>
      <c r="GNE49" s="159"/>
      <c r="GNF49" s="159"/>
      <c r="GNG49" s="159"/>
      <c r="GNH49" s="159"/>
      <c r="GNI49" s="159"/>
      <c r="GNJ49" s="159"/>
      <c r="GNK49" s="159"/>
      <c r="GNL49" s="159"/>
      <c r="GNM49" s="159"/>
      <c r="GNN49" s="159"/>
      <c r="GNO49" s="159"/>
      <c r="GNP49" s="159"/>
      <c r="GNQ49" s="159"/>
      <c r="GNR49" s="159"/>
      <c r="GNS49" s="159"/>
      <c r="GNT49" s="159"/>
      <c r="GNU49" s="159"/>
      <c r="GNV49" s="159"/>
      <c r="GNW49" s="159"/>
      <c r="GNX49" s="159"/>
      <c r="GNY49" s="159"/>
      <c r="GNZ49" s="159"/>
      <c r="GOA49" s="159"/>
      <c r="GOB49" s="159"/>
      <c r="GOC49" s="159"/>
      <c r="GOD49" s="159"/>
      <c r="GOE49" s="159"/>
      <c r="GOF49" s="159"/>
      <c r="GOG49" s="159"/>
      <c r="GOH49" s="159"/>
      <c r="GOI49" s="159"/>
      <c r="GOJ49" s="159"/>
      <c r="GOK49" s="159"/>
      <c r="GOL49" s="159"/>
      <c r="GOM49" s="159"/>
      <c r="GON49" s="159"/>
      <c r="GOO49" s="159"/>
      <c r="GOP49" s="159"/>
      <c r="GOQ49" s="159"/>
      <c r="GOR49" s="159"/>
      <c r="GOS49" s="159"/>
      <c r="GOT49" s="159"/>
      <c r="GOU49" s="159"/>
      <c r="GOV49" s="159"/>
      <c r="GOW49" s="159"/>
      <c r="GOX49" s="159"/>
      <c r="GOY49" s="159"/>
      <c r="GOZ49" s="159"/>
      <c r="GPA49" s="159"/>
      <c r="GPB49" s="159"/>
      <c r="GPC49" s="159"/>
      <c r="GPD49" s="159"/>
      <c r="GPE49" s="159"/>
      <c r="GPF49" s="159"/>
      <c r="GPG49" s="159"/>
      <c r="GPH49" s="159"/>
      <c r="GPI49" s="159"/>
      <c r="GPJ49" s="159"/>
      <c r="GPK49" s="159"/>
      <c r="GPL49" s="159"/>
      <c r="GPM49" s="159"/>
      <c r="GPN49" s="159"/>
      <c r="GPO49" s="159"/>
      <c r="GPP49" s="159"/>
      <c r="GPQ49" s="159"/>
      <c r="GPR49" s="159"/>
      <c r="GPS49" s="159"/>
      <c r="GPT49" s="159"/>
      <c r="GPU49" s="159"/>
      <c r="GPV49" s="159"/>
      <c r="GPW49" s="159"/>
      <c r="GPX49" s="159"/>
      <c r="GPY49" s="159"/>
      <c r="GPZ49" s="159"/>
      <c r="GQA49" s="159"/>
      <c r="GQB49" s="159"/>
      <c r="GQC49" s="159"/>
      <c r="GQD49" s="159"/>
      <c r="GQE49" s="159"/>
      <c r="GQF49" s="159"/>
      <c r="GQG49" s="159"/>
      <c r="GQH49" s="159"/>
      <c r="GQI49" s="159"/>
      <c r="GQJ49" s="159"/>
      <c r="GQK49" s="159"/>
      <c r="GQL49" s="159"/>
      <c r="GQM49" s="159"/>
      <c r="GQN49" s="159"/>
      <c r="GQO49" s="159"/>
      <c r="GQP49" s="159"/>
      <c r="GQQ49" s="159"/>
      <c r="GQR49" s="159"/>
      <c r="GQS49" s="159"/>
      <c r="GQT49" s="159"/>
      <c r="GQU49" s="159"/>
      <c r="GQV49" s="159"/>
      <c r="GQW49" s="159"/>
      <c r="GQX49" s="159"/>
      <c r="GQY49" s="159"/>
      <c r="GQZ49" s="159"/>
      <c r="GRA49" s="159"/>
      <c r="GRB49" s="159"/>
      <c r="GRC49" s="159"/>
      <c r="GRD49" s="159"/>
      <c r="GRE49" s="159"/>
      <c r="GRF49" s="159"/>
      <c r="GRG49" s="159"/>
      <c r="GRH49" s="159"/>
      <c r="GRI49" s="159"/>
      <c r="GRJ49" s="159"/>
      <c r="GRK49" s="159"/>
      <c r="GRL49" s="159"/>
      <c r="GRM49" s="159"/>
      <c r="GRN49" s="159"/>
      <c r="GRO49" s="159"/>
      <c r="GRP49" s="159"/>
      <c r="GRQ49" s="159"/>
      <c r="GRR49" s="159"/>
      <c r="GRS49" s="159"/>
      <c r="GRT49" s="159"/>
      <c r="GRU49" s="159"/>
      <c r="GRV49" s="159"/>
      <c r="GRW49" s="159"/>
      <c r="GRX49" s="159"/>
      <c r="GRY49" s="159"/>
      <c r="GRZ49" s="159"/>
      <c r="GSA49" s="159"/>
      <c r="GSB49" s="159"/>
      <c r="GSC49" s="159"/>
      <c r="GSD49" s="159"/>
      <c r="GSE49" s="159"/>
      <c r="GSF49" s="159"/>
      <c r="GSG49" s="159"/>
      <c r="GSH49" s="159"/>
      <c r="GSI49" s="159"/>
      <c r="GSJ49" s="159"/>
      <c r="GSK49" s="159"/>
      <c r="GSL49" s="159"/>
      <c r="GSM49" s="159"/>
      <c r="GSN49" s="159"/>
      <c r="GSO49" s="159"/>
      <c r="GSP49" s="159"/>
      <c r="GSQ49" s="159"/>
      <c r="GSR49" s="159"/>
      <c r="GSS49" s="159"/>
      <c r="GST49" s="159"/>
      <c r="GSU49" s="159"/>
      <c r="GSV49" s="159"/>
      <c r="GSW49" s="159"/>
      <c r="GSX49" s="159"/>
      <c r="GSY49" s="159"/>
      <c r="GSZ49" s="159"/>
      <c r="GTA49" s="159"/>
      <c r="GTB49" s="159"/>
      <c r="GTC49" s="159"/>
      <c r="GTD49" s="159"/>
      <c r="GTE49" s="159"/>
      <c r="GTF49" s="159"/>
      <c r="GTG49" s="159"/>
      <c r="GTH49" s="159"/>
      <c r="GTI49" s="159"/>
      <c r="GTJ49" s="159"/>
      <c r="GTK49" s="159"/>
      <c r="GTL49" s="159"/>
      <c r="GTM49" s="159"/>
      <c r="GTN49" s="159"/>
      <c r="GTO49" s="159"/>
      <c r="GTP49" s="159"/>
      <c r="GTQ49" s="159"/>
      <c r="GTR49" s="159"/>
      <c r="GTS49" s="159"/>
      <c r="GTT49" s="159"/>
      <c r="GTU49" s="159"/>
      <c r="GTV49" s="159"/>
      <c r="GTW49" s="159"/>
      <c r="GTX49" s="159"/>
      <c r="GTY49" s="159"/>
      <c r="GTZ49" s="159"/>
      <c r="GUA49" s="159"/>
      <c r="GUB49" s="159"/>
      <c r="GUC49" s="159"/>
      <c r="GUD49" s="159"/>
      <c r="GUE49" s="159"/>
      <c r="GUF49" s="159"/>
      <c r="GUG49" s="159"/>
      <c r="GUH49" s="159"/>
      <c r="GUI49" s="159"/>
      <c r="GUJ49" s="159"/>
      <c r="GUK49" s="159"/>
      <c r="GUL49" s="159"/>
      <c r="GUM49" s="159"/>
      <c r="GUN49" s="159"/>
      <c r="GUO49" s="159"/>
      <c r="GUP49" s="159"/>
      <c r="GUQ49" s="159"/>
      <c r="GUR49" s="159"/>
      <c r="GUS49" s="159"/>
      <c r="GUT49" s="159"/>
      <c r="GUU49" s="159"/>
      <c r="GUV49" s="159"/>
      <c r="GUW49" s="159"/>
      <c r="GUX49" s="159"/>
      <c r="GUY49" s="159"/>
      <c r="GUZ49" s="159"/>
      <c r="GVA49" s="159"/>
      <c r="GVB49" s="159"/>
      <c r="GVC49" s="159"/>
      <c r="GVD49" s="159"/>
      <c r="GVE49" s="159"/>
      <c r="GVF49" s="159"/>
      <c r="GVG49" s="159"/>
      <c r="GVH49" s="159"/>
      <c r="GVI49" s="159"/>
      <c r="GVJ49" s="159"/>
      <c r="GVK49" s="159"/>
      <c r="GVL49" s="159"/>
      <c r="GVM49" s="159"/>
      <c r="GVN49" s="159"/>
      <c r="GVO49" s="159"/>
      <c r="GVP49" s="159"/>
      <c r="GVQ49" s="159"/>
      <c r="GVR49" s="159"/>
      <c r="GVS49" s="159"/>
      <c r="GVT49" s="159"/>
      <c r="GVU49" s="159"/>
      <c r="GVV49" s="159"/>
      <c r="GVW49" s="159"/>
      <c r="GVX49" s="159"/>
      <c r="GVY49" s="159"/>
      <c r="GVZ49" s="159"/>
      <c r="GWA49" s="159"/>
      <c r="GWB49" s="159"/>
      <c r="GWC49" s="159"/>
      <c r="GWD49" s="159"/>
      <c r="GWE49" s="159"/>
      <c r="GWF49" s="159"/>
      <c r="GWG49" s="159"/>
      <c r="GWH49" s="159"/>
      <c r="GWI49" s="159"/>
      <c r="GWJ49" s="159"/>
      <c r="GWK49" s="159"/>
      <c r="GWL49" s="159"/>
      <c r="GWM49" s="159"/>
      <c r="GWN49" s="159"/>
      <c r="GWO49" s="159"/>
      <c r="GWP49" s="159"/>
      <c r="GWQ49" s="159"/>
      <c r="GWR49" s="159"/>
      <c r="GWS49" s="159"/>
      <c r="GWT49" s="159"/>
      <c r="GWU49" s="159"/>
      <c r="GWV49" s="159"/>
      <c r="GWW49" s="159"/>
      <c r="GWX49" s="159"/>
      <c r="GWY49" s="159"/>
      <c r="GWZ49" s="159"/>
      <c r="GXA49" s="159"/>
      <c r="GXB49" s="159"/>
      <c r="GXC49" s="159"/>
      <c r="GXD49" s="159"/>
      <c r="GXE49" s="159"/>
      <c r="GXF49" s="159"/>
      <c r="GXG49" s="159"/>
      <c r="GXH49" s="159"/>
      <c r="GXI49" s="159"/>
      <c r="GXJ49" s="159"/>
      <c r="GXK49" s="159"/>
      <c r="GXL49" s="159"/>
      <c r="GXM49" s="159"/>
      <c r="GXN49" s="159"/>
      <c r="GXO49" s="159"/>
      <c r="GXP49" s="159"/>
      <c r="GXQ49" s="159"/>
      <c r="GXR49" s="159"/>
      <c r="GXS49" s="159"/>
      <c r="GXT49" s="159"/>
      <c r="GXU49" s="159"/>
      <c r="GXV49" s="159"/>
      <c r="GXW49" s="159"/>
      <c r="GXX49" s="159"/>
      <c r="GXY49" s="159"/>
      <c r="GXZ49" s="159"/>
      <c r="GYA49" s="159"/>
      <c r="GYB49" s="159"/>
      <c r="GYC49" s="159"/>
      <c r="GYD49" s="159"/>
      <c r="GYE49" s="159"/>
      <c r="GYF49" s="159"/>
      <c r="GYG49" s="159"/>
      <c r="GYH49" s="159"/>
      <c r="GYI49" s="159"/>
      <c r="GYJ49" s="159"/>
      <c r="GYK49" s="159"/>
      <c r="GYL49" s="159"/>
      <c r="GYM49" s="159"/>
      <c r="GYN49" s="159"/>
      <c r="GYO49" s="159"/>
      <c r="GYP49" s="159"/>
      <c r="GYQ49" s="159"/>
      <c r="GYR49" s="159"/>
      <c r="GYS49" s="159"/>
      <c r="GYT49" s="159"/>
      <c r="GYU49" s="159"/>
      <c r="GYV49" s="159"/>
      <c r="GYW49" s="159"/>
      <c r="GYX49" s="159"/>
      <c r="GYY49" s="159"/>
      <c r="GYZ49" s="159"/>
      <c r="GZA49" s="159"/>
      <c r="GZB49" s="159"/>
      <c r="GZC49" s="159"/>
      <c r="GZD49" s="159"/>
      <c r="GZE49" s="159"/>
      <c r="GZF49" s="159"/>
      <c r="GZG49" s="159"/>
      <c r="GZH49" s="159"/>
      <c r="GZI49" s="159"/>
      <c r="GZJ49" s="159"/>
      <c r="GZK49" s="159"/>
      <c r="GZL49" s="159"/>
      <c r="GZM49" s="159"/>
      <c r="GZN49" s="159"/>
      <c r="GZO49" s="159"/>
      <c r="GZP49" s="159"/>
      <c r="GZQ49" s="159"/>
      <c r="GZR49" s="159"/>
      <c r="GZS49" s="159"/>
      <c r="GZT49" s="159"/>
      <c r="GZU49" s="159"/>
      <c r="GZV49" s="159"/>
      <c r="GZW49" s="159"/>
      <c r="GZX49" s="159"/>
      <c r="GZY49" s="159"/>
      <c r="GZZ49" s="159"/>
      <c r="HAA49" s="159"/>
      <c r="HAB49" s="159"/>
      <c r="HAC49" s="159"/>
      <c r="HAD49" s="159"/>
      <c r="HAE49" s="159"/>
      <c r="HAF49" s="159"/>
      <c r="HAG49" s="159"/>
      <c r="HAH49" s="159"/>
      <c r="HAI49" s="159"/>
      <c r="HAJ49" s="159"/>
      <c r="HAK49" s="159"/>
      <c r="HAL49" s="159"/>
      <c r="HAM49" s="159"/>
      <c r="HAN49" s="159"/>
      <c r="HAO49" s="159"/>
      <c r="HAP49" s="159"/>
      <c r="HAQ49" s="159"/>
      <c r="HAR49" s="159"/>
      <c r="HAS49" s="159"/>
      <c r="HAT49" s="159"/>
      <c r="HAU49" s="159"/>
      <c r="HAV49" s="159"/>
      <c r="HAW49" s="159"/>
      <c r="HAX49" s="159"/>
      <c r="HAY49" s="159"/>
      <c r="HAZ49" s="159"/>
      <c r="HBA49" s="159"/>
      <c r="HBB49" s="159"/>
      <c r="HBC49" s="159"/>
      <c r="HBD49" s="159"/>
      <c r="HBE49" s="159"/>
      <c r="HBF49" s="159"/>
      <c r="HBG49" s="159"/>
      <c r="HBH49" s="159"/>
      <c r="HBI49" s="159"/>
      <c r="HBJ49" s="159"/>
      <c r="HBK49" s="159"/>
      <c r="HBL49" s="159"/>
      <c r="HBM49" s="159"/>
      <c r="HBN49" s="159"/>
      <c r="HBO49" s="159"/>
      <c r="HBP49" s="159"/>
      <c r="HBQ49" s="159"/>
      <c r="HBR49" s="159"/>
      <c r="HBS49" s="159"/>
      <c r="HBT49" s="159"/>
      <c r="HBU49" s="159"/>
      <c r="HBV49" s="159"/>
      <c r="HBW49" s="159"/>
      <c r="HBX49" s="159"/>
      <c r="HBY49" s="159"/>
      <c r="HBZ49" s="159"/>
      <c r="HCA49" s="159"/>
      <c r="HCB49" s="159"/>
      <c r="HCC49" s="159"/>
      <c r="HCD49" s="159"/>
      <c r="HCE49" s="159"/>
      <c r="HCF49" s="159"/>
      <c r="HCG49" s="159"/>
      <c r="HCH49" s="159"/>
      <c r="HCI49" s="159"/>
      <c r="HCJ49" s="159"/>
      <c r="HCK49" s="159"/>
      <c r="HCL49" s="159"/>
      <c r="HCM49" s="159"/>
      <c r="HCN49" s="159"/>
      <c r="HCO49" s="159"/>
      <c r="HCP49" s="159"/>
      <c r="HCQ49" s="159"/>
      <c r="HCR49" s="159"/>
      <c r="HCS49" s="159"/>
      <c r="HCT49" s="159"/>
      <c r="HCU49" s="159"/>
      <c r="HCV49" s="159"/>
      <c r="HCW49" s="159"/>
      <c r="HCX49" s="159"/>
      <c r="HCY49" s="159"/>
      <c r="HCZ49" s="159"/>
      <c r="HDA49" s="159"/>
      <c r="HDB49" s="159"/>
      <c r="HDC49" s="159"/>
      <c r="HDD49" s="159"/>
      <c r="HDE49" s="159"/>
      <c r="HDF49" s="159"/>
      <c r="HDG49" s="159"/>
      <c r="HDH49" s="159"/>
      <c r="HDI49" s="159"/>
      <c r="HDJ49" s="159"/>
      <c r="HDK49" s="159"/>
      <c r="HDL49" s="159"/>
      <c r="HDM49" s="159"/>
      <c r="HDN49" s="159"/>
      <c r="HDO49" s="159"/>
      <c r="HDP49" s="159"/>
      <c r="HDQ49" s="159"/>
      <c r="HDR49" s="159"/>
      <c r="HDS49" s="159"/>
      <c r="HDT49" s="159"/>
      <c r="HDU49" s="159"/>
      <c r="HDV49" s="159"/>
      <c r="HDW49" s="159"/>
      <c r="HDX49" s="159"/>
      <c r="HDY49" s="159"/>
      <c r="HDZ49" s="159"/>
      <c r="HEA49" s="159"/>
      <c r="HEB49" s="159"/>
      <c r="HEC49" s="159"/>
      <c r="HED49" s="159"/>
      <c r="HEE49" s="159"/>
      <c r="HEF49" s="159"/>
      <c r="HEG49" s="159"/>
      <c r="HEH49" s="159"/>
      <c r="HEI49" s="159"/>
      <c r="HEJ49" s="159"/>
      <c r="HEK49" s="159"/>
      <c r="HEL49" s="159"/>
      <c r="HEM49" s="159"/>
      <c r="HEN49" s="159"/>
      <c r="HEO49" s="159"/>
      <c r="HEP49" s="159"/>
      <c r="HEQ49" s="159"/>
      <c r="HER49" s="159"/>
      <c r="HES49" s="159"/>
      <c r="HET49" s="159"/>
      <c r="HEU49" s="159"/>
      <c r="HEV49" s="159"/>
      <c r="HEW49" s="159"/>
      <c r="HEX49" s="159"/>
      <c r="HEY49" s="159"/>
      <c r="HEZ49" s="159"/>
      <c r="HFA49" s="159"/>
      <c r="HFB49" s="159"/>
      <c r="HFC49" s="159"/>
      <c r="HFD49" s="159"/>
      <c r="HFE49" s="159"/>
      <c r="HFF49" s="159"/>
      <c r="HFG49" s="159"/>
      <c r="HFH49" s="159"/>
      <c r="HFI49" s="159"/>
      <c r="HFJ49" s="159"/>
      <c r="HFK49" s="159"/>
      <c r="HFL49" s="159"/>
      <c r="HFM49" s="159"/>
      <c r="HFN49" s="159"/>
      <c r="HFO49" s="159"/>
      <c r="HFP49" s="159"/>
      <c r="HFQ49" s="159"/>
      <c r="HFR49" s="159"/>
      <c r="HFS49" s="159"/>
      <c r="HFT49" s="159"/>
      <c r="HFU49" s="159"/>
      <c r="HFV49" s="159"/>
      <c r="HFW49" s="159"/>
      <c r="HFX49" s="159"/>
      <c r="HFY49" s="159"/>
      <c r="HFZ49" s="159"/>
      <c r="HGA49" s="159"/>
      <c r="HGB49" s="159"/>
      <c r="HGC49" s="159"/>
      <c r="HGD49" s="159"/>
      <c r="HGE49" s="159"/>
      <c r="HGF49" s="159"/>
      <c r="HGG49" s="159"/>
      <c r="HGH49" s="159"/>
      <c r="HGI49" s="159"/>
      <c r="HGJ49" s="159"/>
      <c r="HGK49" s="159"/>
      <c r="HGL49" s="159"/>
      <c r="HGM49" s="159"/>
      <c r="HGN49" s="159"/>
      <c r="HGO49" s="159"/>
      <c r="HGP49" s="159"/>
      <c r="HGQ49" s="159"/>
      <c r="HGR49" s="159"/>
      <c r="HGS49" s="159"/>
      <c r="HGT49" s="159"/>
      <c r="HGU49" s="159"/>
      <c r="HGV49" s="159"/>
      <c r="HGW49" s="159"/>
      <c r="HGX49" s="159"/>
      <c r="HGY49" s="159"/>
      <c r="HGZ49" s="159"/>
      <c r="HHA49" s="159"/>
      <c r="HHB49" s="159"/>
      <c r="HHC49" s="159"/>
      <c r="HHD49" s="159"/>
      <c r="HHE49" s="159"/>
      <c r="HHF49" s="159"/>
      <c r="HHG49" s="159"/>
      <c r="HHH49" s="159"/>
      <c r="HHI49" s="159"/>
      <c r="HHJ49" s="159"/>
      <c r="HHK49" s="159"/>
      <c r="HHL49" s="159"/>
      <c r="HHM49" s="159"/>
      <c r="HHN49" s="159"/>
      <c r="HHO49" s="159"/>
      <c r="HHP49" s="159"/>
      <c r="HHQ49" s="159"/>
      <c r="HHR49" s="159"/>
      <c r="HHS49" s="159"/>
      <c r="HHT49" s="159"/>
      <c r="HHU49" s="159"/>
      <c r="HHV49" s="159"/>
      <c r="HHW49" s="159"/>
      <c r="HHX49" s="159"/>
      <c r="HHY49" s="159"/>
      <c r="HHZ49" s="159"/>
      <c r="HIA49" s="159"/>
      <c r="HIB49" s="159"/>
      <c r="HIC49" s="159"/>
      <c r="HID49" s="159"/>
      <c r="HIE49" s="159"/>
      <c r="HIF49" s="159"/>
      <c r="HIG49" s="159"/>
      <c r="HIH49" s="159"/>
      <c r="HII49" s="159"/>
      <c r="HIJ49" s="159"/>
      <c r="HIK49" s="159"/>
      <c r="HIL49" s="159"/>
      <c r="HIM49" s="159"/>
      <c r="HIN49" s="159"/>
      <c r="HIO49" s="159"/>
      <c r="HIP49" s="159"/>
      <c r="HIQ49" s="159"/>
      <c r="HIR49" s="159"/>
      <c r="HIS49" s="159"/>
      <c r="HIT49" s="159"/>
      <c r="HIU49" s="159"/>
      <c r="HIV49" s="159"/>
      <c r="HIW49" s="159"/>
      <c r="HIX49" s="159"/>
      <c r="HIY49" s="159"/>
      <c r="HIZ49" s="159"/>
      <c r="HJA49" s="159"/>
      <c r="HJB49" s="159"/>
      <c r="HJC49" s="159"/>
      <c r="HJD49" s="159"/>
      <c r="HJE49" s="159"/>
      <c r="HJF49" s="159"/>
      <c r="HJG49" s="159"/>
      <c r="HJH49" s="159"/>
      <c r="HJI49" s="159"/>
      <c r="HJJ49" s="159"/>
      <c r="HJK49" s="159"/>
      <c r="HJL49" s="159"/>
      <c r="HJM49" s="159"/>
      <c r="HJN49" s="159"/>
      <c r="HJO49" s="159"/>
      <c r="HJP49" s="159"/>
      <c r="HJQ49" s="159"/>
      <c r="HJR49" s="159"/>
      <c r="HJS49" s="159"/>
      <c r="HJT49" s="159"/>
      <c r="HJU49" s="159"/>
      <c r="HJV49" s="159"/>
      <c r="HJW49" s="159"/>
      <c r="HJX49" s="159"/>
      <c r="HJY49" s="159"/>
      <c r="HJZ49" s="159"/>
      <c r="HKA49" s="159"/>
      <c r="HKB49" s="159"/>
      <c r="HKC49" s="159"/>
      <c r="HKD49" s="159"/>
      <c r="HKE49" s="159"/>
      <c r="HKF49" s="159"/>
      <c r="HKG49" s="159"/>
      <c r="HKH49" s="159"/>
      <c r="HKI49" s="159"/>
      <c r="HKJ49" s="159"/>
      <c r="HKK49" s="159"/>
      <c r="HKL49" s="159"/>
      <c r="HKM49" s="159"/>
      <c r="HKN49" s="159"/>
      <c r="HKO49" s="159"/>
      <c r="HKP49" s="159"/>
      <c r="HKQ49" s="159"/>
      <c r="HKR49" s="159"/>
      <c r="HKS49" s="159"/>
      <c r="HKT49" s="159"/>
      <c r="HKU49" s="159"/>
      <c r="HKV49" s="159"/>
      <c r="HKW49" s="159"/>
      <c r="HKX49" s="159"/>
      <c r="HKY49" s="159"/>
      <c r="HKZ49" s="159"/>
      <c r="HLA49" s="159"/>
      <c r="HLB49" s="159"/>
      <c r="HLC49" s="159"/>
      <c r="HLD49" s="159"/>
      <c r="HLE49" s="159"/>
      <c r="HLF49" s="159"/>
      <c r="HLG49" s="159"/>
      <c r="HLH49" s="159"/>
      <c r="HLI49" s="159"/>
      <c r="HLJ49" s="159"/>
      <c r="HLK49" s="159"/>
      <c r="HLL49" s="159"/>
      <c r="HLM49" s="159"/>
      <c r="HLN49" s="159"/>
      <c r="HLO49" s="159"/>
      <c r="HLP49" s="159"/>
      <c r="HLQ49" s="159"/>
      <c r="HLR49" s="159"/>
      <c r="HLS49" s="159"/>
      <c r="HLT49" s="159"/>
      <c r="HLU49" s="159"/>
      <c r="HLV49" s="159"/>
      <c r="HLW49" s="159"/>
      <c r="HLX49" s="159"/>
      <c r="HLY49" s="159"/>
      <c r="HLZ49" s="159"/>
      <c r="HMA49" s="159"/>
      <c r="HMB49" s="159"/>
      <c r="HMC49" s="159"/>
      <c r="HMD49" s="159"/>
      <c r="HME49" s="159"/>
      <c r="HMF49" s="159"/>
      <c r="HMG49" s="159"/>
      <c r="HMH49" s="159"/>
      <c r="HMI49" s="159"/>
      <c r="HMJ49" s="159"/>
      <c r="HMK49" s="159"/>
      <c r="HML49" s="159"/>
      <c r="HMM49" s="159"/>
      <c r="HMN49" s="159"/>
      <c r="HMO49" s="159"/>
      <c r="HMP49" s="159"/>
      <c r="HMQ49" s="159"/>
      <c r="HMR49" s="159"/>
      <c r="HMS49" s="159"/>
      <c r="HMT49" s="159"/>
      <c r="HMU49" s="159"/>
      <c r="HMV49" s="159"/>
      <c r="HMW49" s="159"/>
      <c r="HMX49" s="159"/>
      <c r="HMY49" s="159"/>
      <c r="HMZ49" s="159"/>
      <c r="HNA49" s="159"/>
      <c r="HNB49" s="159"/>
      <c r="HNC49" s="159"/>
      <c r="HND49" s="159"/>
      <c r="HNE49" s="159"/>
      <c r="HNF49" s="159"/>
      <c r="HNG49" s="159"/>
      <c r="HNH49" s="159"/>
      <c r="HNI49" s="159"/>
      <c r="HNJ49" s="159"/>
      <c r="HNK49" s="159"/>
      <c r="HNL49" s="159"/>
      <c r="HNM49" s="159"/>
      <c r="HNN49" s="159"/>
      <c r="HNO49" s="159"/>
      <c r="HNP49" s="159"/>
      <c r="HNQ49" s="159"/>
      <c r="HNR49" s="159"/>
      <c r="HNS49" s="159"/>
      <c r="HNT49" s="159"/>
      <c r="HNU49" s="159"/>
      <c r="HNV49" s="159"/>
      <c r="HNW49" s="159"/>
      <c r="HNX49" s="159"/>
      <c r="HNY49" s="159"/>
      <c r="HNZ49" s="159"/>
      <c r="HOA49" s="159"/>
      <c r="HOB49" s="159"/>
      <c r="HOC49" s="159"/>
      <c r="HOD49" s="159"/>
      <c r="HOE49" s="159"/>
      <c r="HOF49" s="159"/>
      <c r="HOG49" s="159"/>
      <c r="HOH49" s="159"/>
      <c r="HOI49" s="159"/>
      <c r="HOJ49" s="159"/>
      <c r="HOK49" s="159"/>
      <c r="HOL49" s="159"/>
      <c r="HOM49" s="159"/>
      <c r="HON49" s="159"/>
      <c r="HOO49" s="159"/>
      <c r="HOP49" s="159"/>
      <c r="HOQ49" s="159"/>
      <c r="HOR49" s="159"/>
      <c r="HOS49" s="159"/>
      <c r="HOT49" s="159"/>
      <c r="HOU49" s="159"/>
      <c r="HOV49" s="159"/>
      <c r="HOW49" s="159"/>
      <c r="HOX49" s="159"/>
      <c r="HOY49" s="159"/>
      <c r="HOZ49" s="159"/>
      <c r="HPA49" s="159"/>
      <c r="HPB49" s="159"/>
      <c r="HPC49" s="159"/>
      <c r="HPD49" s="159"/>
      <c r="HPE49" s="159"/>
      <c r="HPF49" s="159"/>
      <c r="HPG49" s="159"/>
      <c r="HPH49" s="159"/>
      <c r="HPI49" s="159"/>
      <c r="HPJ49" s="159"/>
      <c r="HPK49" s="159"/>
      <c r="HPL49" s="159"/>
      <c r="HPM49" s="159"/>
      <c r="HPN49" s="159"/>
      <c r="HPO49" s="159"/>
      <c r="HPP49" s="159"/>
      <c r="HPQ49" s="159"/>
      <c r="HPR49" s="159"/>
      <c r="HPS49" s="159"/>
      <c r="HPT49" s="159"/>
      <c r="HPU49" s="159"/>
      <c r="HPV49" s="159"/>
      <c r="HPW49" s="159"/>
      <c r="HPX49" s="159"/>
      <c r="HPY49" s="159"/>
      <c r="HPZ49" s="159"/>
      <c r="HQA49" s="159"/>
      <c r="HQB49" s="159"/>
      <c r="HQC49" s="159"/>
      <c r="HQD49" s="159"/>
      <c r="HQE49" s="159"/>
      <c r="HQF49" s="159"/>
      <c r="HQG49" s="159"/>
      <c r="HQH49" s="159"/>
      <c r="HQI49" s="159"/>
      <c r="HQJ49" s="159"/>
      <c r="HQK49" s="159"/>
      <c r="HQL49" s="159"/>
      <c r="HQM49" s="159"/>
      <c r="HQN49" s="159"/>
      <c r="HQO49" s="159"/>
      <c r="HQP49" s="159"/>
      <c r="HQQ49" s="159"/>
      <c r="HQR49" s="159"/>
      <c r="HQS49" s="159"/>
      <c r="HQT49" s="159"/>
      <c r="HQU49" s="159"/>
      <c r="HQV49" s="159"/>
      <c r="HQW49" s="159"/>
      <c r="HQX49" s="159"/>
      <c r="HQY49" s="159"/>
      <c r="HQZ49" s="159"/>
      <c r="HRA49" s="159"/>
      <c r="HRB49" s="159"/>
      <c r="HRC49" s="159"/>
      <c r="HRD49" s="159"/>
      <c r="HRE49" s="159"/>
      <c r="HRF49" s="159"/>
      <c r="HRG49" s="159"/>
      <c r="HRH49" s="159"/>
      <c r="HRI49" s="159"/>
      <c r="HRJ49" s="159"/>
      <c r="HRK49" s="159"/>
      <c r="HRL49" s="159"/>
      <c r="HRM49" s="159"/>
      <c r="HRN49" s="159"/>
      <c r="HRO49" s="159"/>
      <c r="HRP49" s="159"/>
      <c r="HRQ49" s="159"/>
      <c r="HRR49" s="159"/>
      <c r="HRS49" s="159"/>
      <c r="HRT49" s="159"/>
      <c r="HRU49" s="159"/>
      <c r="HRV49" s="159"/>
      <c r="HRW49" s="159"/>
      <c r="HRX49" s="159"/>
      <c r="HRY49" s="159"/>
      <c r="HRZ49" s="159"/>
      <c r="HSA49" s="159"/>
      <c r="HSB49" s="159"/>
      <c r="HSC49" s="159"/>
      <c r="HSD49" s="159"/>
      <c r="HSE49" s="159"/>
      <c r="HSF49" s="159"/>
      <c r="HSG49" s="159"/>
      <c r="HSH49" s="159"/>
      <c r="HSI49" s="159"/>
      <c r="HSJ49" s="159"/>
      <c r="HSK49" s="159"/>
      <c r="HSL49" s="159"/>
      <c r="HSM49" s="159"/>
      <c r="HSN49" s="159"/>
      <c r="HSO49" s="159"/>
      <c r="HSP49" s="159"/>
      <c r="HSQ49" s="159"/>
      <c r="HSR49" s="159"/>
      <c r="HSS49" s="159"/>
      <c r="HST49" s="159"/>
      <c r="HSU49" s="159"/>
      <c r="HSV49" s="159"/>
      <c r="HSW49" s="159"/>
      <c r="HSX49" s="159"/>
      <c r="HSY49" s="159"/>
      <c r="HSZ49" s="159"/>
      <c r="HTA49" s="159"/>
      <c r="HTB49" s="159"/>
      <c r="HTC49" s="159"/>
      <c r="HTD49" s="159"/>
      <c r="HTE49" s="159"/>
      <c r="HTF49" s="159"/>
      <c r="HTG49" s="159"/>
      <c r="HTH49" s="159"/>
      <c r="HTI49" s="159"/>
      <c r="HTJ49" s="159"/>
      <c r="HTK49" s="159"/>
      <c r="HTL49" s="159"/>
      <c r="HTM49" s="159"/>
      <c r="HTN49" s="159"/>
      <c r="HTO49" s="159"/>
      <c r="HTP49" s="159"/>
      <c r="HTQ49" s="159"/>
      <c r="HTR49" s="159"/>
      <c r="HTS49" s="159"/>
      <c r="HTT49" s="159"/>
      <c r="HTU49" s="159"/>
      <c r="HTV49" s="159"/>
      <c r="HTW49" s="159"/>
      <c r="HTX49" s="159"/>
      <c r="HTY49" s="159"/>
      <c r="HTZ49" s="159"/>
      <c r="HUA49" s="159"/>
      <c r="HUB49" s="159"/>
      <c r="HUC49" s="159"/>
      <c r="HUD49" s="159"/>
      <c r="HUE49" s="159"/>
      <c r="HUF49" s="159"/>
      <c r="HUG49" s="159"/>
      <c r="HUH49" s="159"/>
      <c r="HUI49" s="159"/>
      <c r="HUJ49" s="159"/>
      <c r="HUK49" s="159"/>
      <c r="HUL49" s="159"/>
      <c r="HUM49" s="159"/>
      <c r="HUN49" s="159"/>
      <c r="HUO49" s="159"/>
      <c r="HUP49" s="159"/>
      <c r="HUQ49" s="159"/>
      <c r="HUR49" s="159"/>
      <c r="HUS49" s="159"/>
      <c r="HUT49" s="159"/>
      <c r="HUU49" s="159"/>
      <c r="HUV49" s="159"/>
      <c r="HUW49" s="159"/>
      <c r="HUX49" s="159"/>
      <c r="HUY49" s="159"/>
      <c r="HUZ49" s="159"/>
      <c r="HVA49" s="159"/>
      <c r="HVB49" s="159"/>
      <c r="HVC49" s="159"/>
      <c r="HVD49" s="159"/>
      <c r="HVE49" s="159"/>
      <c r="HVF49" s="159"/>
      <c r="HVG49" s="159"/>
      <c r="HVH49" s="159"/>
      <c r="HVI49" s="159"/>
      <c r="HVJ49" s="159"/>
      <c r="HVK49" s="159"/>
      <c r="HVL49" s="159"/>
      <c r="HVM49" s="159"/>
      <c r="HVN49" s="159"/>
      <c r="HVO49" s="159"/>
      <c r="HVP49" s="159"/>
      <c r="HVQ49" s="159"/>
      <c r="HVR49" s="159"/>
      <c r="HVS49" s="159"/>
      <c r="HVT49" s="159"/>
      <c r="HVU49" s="159"/>
      <c r="HVV49" s="159"/>
      <c r="HVW49" s="159"/>
      <c r="HVX49" s="159"/>
      <c r="HVY49" s="159"/>
      <c r="HVZ49" s="159"/>
      <c r="HWA49" s="159"/>
      <c r="HWB49" s="159"/>
      <c r="HWC49" s="159"/>
      <c r="HWD49" s="159"/>
      <c r="HWE49" s="159"/>
      <c r="HWF49" s="159"/>
      <c r="HWG49" s="159"/>
      <c r="HWH49" s="159"/>
      <c r="HWI49" s="159"/>
      <c r="HWJ49" s="159"/>
      <c r="HWK49" s="159"/>
      <c r="HWL49" s="159"/>
      <c r="HWM49" s="159"/>
      <c r="HWN49" s="159"/>
      <c r="HWO49" s="159"/>
      <c r="HWP49" s="159"/>
      <c r="HWQ49" s="159"/>
      <c r="HWR49" s="159"/>
      <c r="HWS49" s="159"/>
      <c r="HWT49" s="159"/>
      <c r="HWU49" s="159"/>
      <c r="HWV49" s="159"/>
      <c r="HWW49" s="159"/>
      <c r="HWX49" s="159"/>
      <c r="HWY49" s="159"/>
      <c r="HWZ49" s="159"/>
      <c r="HXA49" s="159"/>
      <c r="HXB49" s="159"/>
      <c r="HXC49" s="159"/>
      <c r="HXD49" s="159"/>
      <c r="HXE49" s="159"/>
      <c r="HXF49" s="159"/>
      <c r="HXG49" s="159"/>
      <c r="HXH49" s="159"/>
      <c r="HXI49" s="159"/>
      <c r="HXJ49" s="159"/>
      <c r="HXK49" s="159"/>
      <c r="HXL49" s="159"/>
      <c r="HXM49" s="159"/>
      <c r="HXN49" s="159"/>
      <c r="HXO49" s="159"/>
      <c r="HXP49" s="159"/>
      <c r="HXQ49" s="159"/>
      <c r="HXR49" s="159"/>
      <c r="HXS49" s="159"/>
      <c r="HXT49" s="159"/>
      <c r="HXU49" s="159"/>
      <c r="HXV49" s="159"/>
      <c r="HXW49" s="159"/>
      <c r="HXX49" s="159"/>
      <c r="HXY49" s="159"/>
      <c r="HXZ49" s="159"/>
      <c r="HYA49" s="159"/>
      <c r="HYB49" s="159"/>
      <c r="HYC49" s="159"/>
      <c r="HYD49" s="159"/>
      <c r="HYE49" s="159"/>
      <c r="HYF49" s="159"/>
      <c r="HYG49" s="159"/>
      <c r="HYH49" s="159"/>
      <c r="HYI49" s="159"/>
      <c r="HYJ49" s="159"/>
      <c r="HYK49" s="159"/>
      <c r="HYL49" s="159"/>
      <c r="HYM49" s="159"/>
      <c r="HYN49" s="159"/>
      <c r="HYO49" s="159"/>
      <c r="HYP49" s="159"/>
      <c r="HYQ49" s="159"/>
      <c r="HYR49" s="159"/>
      <c r="HYS49" s="159"/>
      <c r="HYT49" s="159"/>
      <c r="HYU49" s="159"/>
      <c r="HYV49" s="159"/>
      <c r="HYW49" s="159"/>
      <c r="HYX49" s="159"/>
      <c r="HYY49" s="159"/>
      <c r="HYZ49" s="159"/>
      <c r="HZA49" s="159"/>
      <c r="HZB49" s="159"/>
      <c r="HZC49" s="159"/>
      <c r="HZD49" s="159"/>
      <c r="HZE49" s="159"/>
      <c r="HZF49" s="159"/>
      <c r="HZG49" s="159"/>
      <c r="HZH49" s="159"/>
      <c r="HZI49" s="159"/>
      <c r="HZJ49" s="159"/>
      <c r="HZK49" s="159"/>
      <c r="HZL49" s="159"/>
      <c r="HZM49" s="159"/>
      <c r="HZN49" s="159"/>
      <c r="HZO49" s="159"/>
      <c r="HZP49" s="159"/>
      <c r="HZQ49" s="159"/>
      <c r="HZR49" s="159"/>
      <c r="HZS49" s="159"/>
      <c r="HZT49" s="159"/>
      <c r="HZU49" s="159"/>
      <c r="HZV49" s="159"/>
      <c r="HZW49" s="159"/>
      <c r="HZX49" s="159"/>
      <c r="HZY49" s="159"/>
      <c r="HZZ49" s="159"/>
      <c r="IAA49" s="159"/>
      <c r="IAB49" s="159"/>
      <c r="IAC49" s="159"/>
      <c r="IAD49" s="159"/>
      <c r="IAE49" s="159"/>
      <c r="IAF49" s="159"/>
      <c r="IAG49" s="159"/>
      <c r="IAH49" s="159"/>
      <c r="IAI49" s="159"/>
      <c r="IAJ49" s="159"/>
      <c r="IAK49" s="159"/>
      <c r="IAL49" s="159"/>
      <c r="IAM49" s="159"/>
      <c r="IAN49" s="159"/>
      <c r="IAO49" s="159"/>
      <c r="IAP49" s="159"/>
      <c r="IAQ49" s="159"/>
      <c r="IAR49" s="159"/>
      <c r="IAS49" s="159"/>
      <c r="IAT49" s="159"/>
      <c r="IAU49" s="159"/>
      <c r="IAV49" s="159"/>
      <c r="IAW49" s="159"/>
      <c r="IAX49" s="159"/>
      <c r="IAY49" s="159"/>
      <c r="IAZ49" s="159"/>
      <c r="IBA49" s="159"/>
      <c r="IBB49" s="159"/>
      <c r="IBC49" s="159"/>
      <c r="IBD49" s="159"/>
      <c r="IBE49" s="159"/>
      <c r="IBF49" s="159"/>
      <c r="IBG49" s="159"/>
      <c r="IBH49" s="159"/>
      <c r="IBI49" s="159"/>
      <c r="IBJ49" s="159"/>
      <c r="IBK49" s="159"/>
      <c r="IBL49" s="159"/>
      <c r="IBM49" s="159"/>
      <c r="IBN49" s="159"/>
      <c r="IBO49" s="159"/>
      <c r="IBP49" s="159"/>
      <c r="IBQ49" s="159"/>
      <c r="IBR49" s="159"/>
      <c r="IBS49" s="159"/>
      <c r="IBT49" s="159"/>
      <c r="IBU49" s="159"/>
      <c r="IBV49" s="159"/>
      <c r="IBW49" s="159"/>
      <c r="IBX49" s="159"/>
      <c r="IBY49" s="159"/>
      <c r="IBZ49" s="159"/>
      <c r="ICA49" s="159"/>
      <c r="ICB49" s="159"/>
      <c r="ICC49" s="159"/>
      <c r="ICD49" s="159"/>
      <c r="ICE49" s="159"/>
      <c r="ICF49" s="159"/>
      <c r="ICG49" s="159"/>
      <c r="ICH49" s="159"/>
      <c r="ICI49" s="159"/>
      <c r="ICJ49" s="159"/>
      <c r="ICK49" s="159"/>
      <c r="ICL49" s="159"/>
      <c r="ICM49" s="159"/>
      <c r="ICN49" s="159"/>
      <c r="ICO49" s="159"/>
      <c r="ICP49" s="159"/>
      <c r="ICQ49" s="159"/>
      <c r="ICR49" s="159"/>
      <c r="ICS49" s="159"/>
      <c r="ICT49" s="159"/>
      <c r="ICU49" s="159"/>
      <c r="ICV49" s="159"/>
      <c r="ICW49" s="159"/>
      <c r="ICX49" s="159"/>
      <c r="ICY49" s="159"/>
      <c r="ICZ49" s="159"/>
      <c r="IDA49" s="159"/>
      <c r="IDB49" s="159"/>
      <c r="IDC49" s="159"/>
      <c r="IDD49" s="159"/>
      <c r="IDE49" s="159"/>
      <c r="IDF49" s="159"/>
      <c r="IDG49" s="159"/>
      <c r="IDH49" s="159"/>
      <c r="IDI49" s="159"/>
      <c r="IDJ49" s="159"/>
      <c r="IDK49" s="159"/>
      <c r="IDL49" s="159"/>
      <c r="IDM49" s="159"/>
      <c r="IDN49" s="159"/>
      <c r="IDO49" s="159"/>
      <c r="IDP49" s="159"/>
      <c r="IDQ49" s="159"/>
      <c r="IDR49" s="159"/>
      <c r="IDS49" s="159"/>
      <c r="IDT49" s="159"/>
      <c r="IDU49" s="159"/>
      <c r="IDV49" s="159"/>
      <c r="IDW49" s="159"/>
      <c r="IDX49" s="159"/>
      <c r="IDY49" s="159"/>
      <c r="IDZ49" s="159"/>
      <c r="IEA49" s="159"/>
      <c r="IEB49" s="159"/>
      <c r="IEC49" s="159"/>
      <c r="IED49" s="159"/>
      <c r="IEE49" s="159"/>
      <c r="IEF49" s="159"/>
      <c r="IEG49" s="159"/>
      <c r="IEH49" s="159"/>
      <c r="IEI49" s="159"/>
      <c r="IEJ49" s="159"/>
      <c r="IEK49" s="159"/>
      <c r="IEL49" s="159"/>
      <c r="IEM49" s="159"/>
      <c r="IEN49" s="159"/>
      <c r="IEO49" s="159"/>
      <c r="IEP49" s="159"/>
      <c r="IEQ49" s="159"/>
      <c r="IER49" s="159"/>
      <c r="IES49" s="159"/>
      <c r="IET49" s="159"/>
      <c r="IEU49" s="159"/>
      <c r="IEV49" s="159"/>
      <c r="IEW49" s="159"/>
      <c r="IEX49" s="159"/>
      <c r="IEY49" s="159"/>
      <c r="IEZ49" s="159"/>
      <c r="IFA49" s="159"/>
      <c r="IFB49" s="159"/>
      <c r="IFC49" s="159"/>
      <c r="IFD49" s="159"/>
      <c r="IFE49" s="159"/>
      <c r="IFF49" s="159"/>
      <c r="IFG49" s="159"/>
      <c r="IFH49" s="159"/>
      <c r="IFI49" s="159"/>
      <c r="IFJ49" s="159"/>
      <c r="IFK49" s="159"/>
      <c r="IFL49" s="159"/>
      <c r="IFM49" s="159"/>
      <c r="IFN49" s="159"/>
      <c r="IFO49" s="159"/>
      <c r="IFP49" s="159"/>
      <c r="IFQ49" s="159"/>
      <c r="IFR49" s="159"/>
      <c r="IFS49" s="159"/>
      <c r="IFT49" s="159"/>
      <c r="IFU49" s="159"/>
      <c r="IFV49" s="159"/>
      <c r="IFW49" s="159"/>
      <c r="IFX49" s="159"/>
      <c r="IFY49" s="159"/>
      <c r="IFZ49" s="159"/>
      <c r="IGA49" s="159"/>
      <c r="IGB49" s="159"/>
      <c r="IGC49" s="159"/>
      <c r="IGD49" s="159"/>
      <c r="IGE49" s="159"/>
      <c r="IGF49" s="159"/>
      <c r="IGG49" s="159"/>
      <c r="IGH49" s="159"/>
      <c r="IGI49" s="159"/>
      <c r="IGJ49" s="159"/>
      <c r="IGK49" s="159"/>
      <c r="IGL49" s="159"/>
      <c r="IGM49" s="159"/>
      <c r="IGN49" s="159"/>
      <c r="IGO49" s="159"/>
      <c r="IGP49" s="159"/>
      <c r="IGQ49" s="159"/>
      <c r="IGR49" s="159"/>
      <c r="IGS49" s="159"/>
      <c r="IGT49" s="159"/>
      <c r="IGU49" s="159"/>
      <c r="IGV49" s="159"/>
      <c r="IGW49" s="159"/>
      <c r="IGX49" s="159"/>
      <c r="IGY49" s="159"/>
      <c r="IGZ49" s="159"/>
      <c r="IHA49" s="159"/>
      <c r="IHB49" s="159"/>
      <c r="IHC49" s="159"/>
      <c r="IHD49" s="159"/>
      <c r="IHE49" s="159"/>
      <c r="IHF49" s="159"/>
      <c r="IHG49" s="159"/>
      <c r="IHH49" s="159"/>
      <c r="IHI49" s="159"/>
      <c r="IHJ49" s="159"/>
      <c r="IHK49" s="159"/>
      <c r="IHL49" s="159"/>
      <c r="IHM49" s="159"/>
      <c r="IHN49" s="159"/>
      <c r="IHO49" s="159"/>
      <c r="IHP49" s="159"/>
      <c r="IHQ49" s="159"/>
      <c r="IHR49" s="159"/>
      <c r="IHS49" s="159"/>
      <c r="IHT49" s="159"/>
      <c r="IHU49" s="159"/>
      <c r="IHV49" s="159"/>
      <c r="IHW49" s="159"/>
      <c r="IHX49" s="159"/>
      <c r="IHY49" s="159"/>
      <c r="IHZ49" s="159"/>
      <c r="IIA49" s="159"/>
      <c r="IIB49" s="159"/>
      <c r="IIC49" s="159"/>
      <c r="IID49" s="159"/>
      <c r="IIE49" s="159"/>
      <c r="IIF49" s="159"/>
      <c r="IIG49" s="159"/>
      <c r="IIH49" s="159"/>
      <c r="III49" s="159"/>
      <c r="IIJ49" s="159"/>
      <c r="IIK49" s="159"/>
      <c r="IIL49" s="159"/>
      <c r="IIM49" s="159"/>
      <c r="IIN49" s="159"/>
      <c r="IIO49" s="159"/>
      <c r="IIP49" s="159"/>
      <c r="IIQ49" s="159"/>
      <c r="IIR49" s="159"/>
      <c r="IIS49" s="159"/>
      <c r="IIT49" s="159"/>
      <c r="IIU49" s="159"/>
      <c r="IIV49" s="159"/>
      <c r="IIW49" s="159"/>
      <c r="IIX49" s="159"/>
      <c r="IIY49" s="159"/>
      <c r="IIZ49" s="159"/>
      <c r="IJA49" s="159"/>
      <c r="IJB49" s="159"/>
      <c r="IJC49" s="159"/>
      <c r="IJD49" s="159"/>
      <c r="IJE49" s="159"/>
      <c r="IJF49" s="159"/>
      <c r="IJG49" s="159"/>
      <c r="IJH49" s="159"/>
      <c r="IJI49" s="159"/>
      <c r="IJJ49" s="159"/>
      <c r="IJK49" s="159"/>
      <c r="IJL49" s="159"/>
      <c r="IJM49" s="159"/>
      <c r="IJN49" s="159"/>
      <c r="IJO49" s="159"/>
      <c r="IJP49" s="159"/>
      <c r="IJQ49" s="159"/>
      <c r="IJR49" s="159"/>
      <c r="IJS49" s="159"/>
      <c r="IJT49" s="159"/>
      <c r="IJU49" s="159"/>
      <c r="IJV49" s="159"/>
      <c r="IJW49" s="159"/>
      <c r="IJX49" s="159"/>
      <c r="IJY49" s="159"/>
      <c r="IJZ49" s="159"/>
      <c r="IKA49" s="159"/>
      <c r="IKB49" s="159"/>
      <c r="IKC49" s="159"/>
      <c r="IKD49" s="159"/>
      <c r="IKE49" s="159"/>
      <c r="IKF49" s="159"/>
      <c r="IKG49" s="159"/>
      <c r="IKH49" s="159"/>
      <c r="IKI49" s="159"/>
      <c r="IKJ49" s="159"/>
      <c r="IKK49" s="159"/>
      <c r="IKL49" s="159"/>
      <c r="IKM49" s="159"/>
      <c r="IKN49" s="159"/>
      <c r="IKO49" s="159"/>
      <c r="IKP49" s="159"/>
      <c r="IKQ49" s="159"/>
      <c r="IKR49" s="159"/>
      <c r="IKS49" s="159"/>
      <c r="IKT49" s="159"/>
      <c r="IKU49" s="159"/>
      <c r="IKV49" s="159"/>
      <c r="IKW49" s="159"/>
      <c r="IKX49" s="159"/>
      <c r="IKY49" s="159"/>
      <c r="IKZ49" s="159"/>
      <c r="ILA49" s="159"/>
      <c r="ILB49" s="159"/>
      <c r="ILC49" s="159"/>
      <c r="ILD49" s="159"/>
      <c r="ILE49" s="159"/>
      <c r="ILF49" s="159"/>
      <c r="ILG49" s="159"/>
      <c r="ILH49" s="159"/>
      <c r="ILI49" s="159"/>
      <c r="ILJ49" s="159"/>
      <c r="ILK49" s="159"/>
      <c r="ILL49" s="159"/>
      <c r="ILM49" s="159"/>
      <c r="ILN49" s="159"/>
      <c r="ILO49" s="159"/>
      <c r="ILP49" s="159"/>
      <c r="ILQ49" s="159"/>
      <c r="ILR49" s="159"/>
      <c r="ILS49" s="159"/>
      <c r="ILT49" s="159"/>
      <c r="ILU49" s="159"/>
      <c r="ILV49" s="159"/>
      <c r="ILW49" s="159"/>
      <c r="ILX49" s="159"/>
      <c r="ILY49" s="159"/>
      <c r="ILZ49" s="159"/>
      <c r="IMA49" s="159"/>
      <c r="IMB49" s="159"/>
      <c r="IMC49" s="159"/>
      <c r="IMD49" s="159"/>
      <c r="IME49" s="159"/>
      <c r="IMF49" s="159"/>
      <c r="IMG49" s="159"/>
      <c r="IMH49" s="159"/>
      <c r="IMI49" s="159"/>
      <c r="IMJ49" s="159"/>
      <c r="IMK49" s="159"/>
      <c r="IML49" s="159"/>
      <c r="IMM49" s="159"/>
      <c r="IMN49" s="159"/>
      <c r="IMO49" s="159"/>
      <c r="IMP49" s="159"/>
      <c r="IMQ49" s="159"/>
      <c r="IMR49" s="159"/>
      <c r="IMS49" s="159"/>
      <c r="IMT49" s="159"/>
      <c r="IMU49" s="159"/>
      <c r="IMV49" s="159"/>
      <c r="IMW49" s="159"/>
      <c r="IMX49" s="159"/>
      <c r="IMY49" s="159"/>
      <c r="IMZ49" s="159"/>
      <c r="INA49" s="159"/>
      <c r="INB49" s="159"/>
      <c r="INC49" s="159"/>
      <c r="IND49" s="159"/>
      <c r="INE49" s="159"/>
      <c r="INF49" s="159"/>
      <c r="ING49" s="159"/>
      <c r="INH49" s="159"/>
      <c r="INI49" s="159"/>
      <c r="INJ49" s="159"/>
      <c r="INK49" s="159"/>
      <c r="INL49" s="159"/>
      <c r="INM49" s="159"/>
      <c r="INN49" s="159"/>
      <c r="INO49" s="159"/>
      <c r="INP49" s="159"/>
      <c r="INQ49" s="159"/>
      <c r="INR49" s="159"/>
      <c r="INS49" s="159"/>
      <c r="INT49" s="159"/>
      <c r="INU49" s="159"/>
      <c r="INV49" s="159"/>
      <c r="INW49" s="159"/>
      <c r="INX49" s="159"/>
      <c r="INY49" s="159"/>
      <c r="INZ49" s="159"/>
      <c r="IOA49" s="159"/>
      <c r="IOB49" s="159"/>
      <c r="IOC49" s="159"/>
      <c r="IOD49" s="159"/>
      <c r="IOE49" s="159"/>
      <c r="IOF49" s="159"/>
      <c r="IOG49" s="159"/>
      <c r="IOH49" s="159"/>
      <c r="IOI49" s="159"/>
      <c r="IOJ49" s="159"/>
      <c r="IOK49" s="159"/>
      <c r="IOL49" s="159"/>
      <c r="IOM49" s="159"/>
      <c r="ION49" s="159"/>
      <c r="IOO49" s="159"/>
      <c r="IOP49" s="159"/>
      <c r="IOQ49" s="159"/>
      <c r="IOR49" s="159"/>
      <c r="IOS49" s="159"/>
      <c r="IOT49" s="159"/>
      <c r="IOU49" s="159"/>
      <c r="IOV49" s="159"/>
      <c r="IOW49" s="159"/>
      <c r="IOX49" s="159"/>
      <c r="IOY49" s="159"/>
      <c r="IOZ49" s="159"/>
      <c r="IPA49" s="159"/>
      <c r="IPB49" s="159"/>
      <c r="IPC49" s="159"/>
      <c r="IPD49" s="159"/>
      <c r="IPE49" s="159"/>
      <c r="IPF49" s="159"/>
      <c r="IPG49" s="159"/>
      <c r="IPH49" s="159"/>
      <c r="IPI49" s="159"/>
      <c r="IPJ49" s="159"/>
      <c r="IPK49" s="159"/>
      <c r="IPL49" s="159"/>
      <c r="IPM49" s="159"/>
      <c r="IPN49" s="159"/>
      <c r="IPO49" s="159"/>
      <c r="IPP49" s="159"/>
      <c r="IPQ49" s="159"/>
      <c r="IPR49" s="159"/>
      <c r="IPS49" s="159"/>
      <c r="IPT49" s="159"/>
      <c r="IPU49" s="159"/>
      <c r="IPV49" s="159"/>
      <c r="IPW49" s="159"/>
      <c r="IPX49" s="159"/>
      <c r="IPY49" s="159"/>
      <c r="IPZ49" s="159"/>
      <c r="IQA49" s="159"/>
      <c r="IQB49" s="159"/>
      <c r="IQC49" s="159"/>
      <c r="IQD49" s="159"/>
      <c r="IQE49" s="159"/>
      <c r="IQF49" s="159"/>
      <c r="IQG49" s="159"/>
      <c r="IQH49" s="159"/>
      <c r="IQI49" s="159"/>
      <c r="IQJ49" s="159"/>
      <c r="IQK49" s="159"/>
      <c r="IQL49" s="159"/>
      <c r="IQM49" s="159"/>
      <c r="IQN49" s="159"/>
      <c r="IQO49" s="159"/>
      <c r="IQP49" s="159"/>
      <c r="IQQ49" s="159"/>
      <c r="IQR49" s="159"/>
      <c r="IQS49" s="159"/>
      <c r="IQT49" s="159"/>
      <c r="IQU49" s="159"/>
      <c r="IQV49" s="159"/>
      <c r="IQW49" s="159"/>
      <c r="IQX49" s="159"/>
      <c r="IQY49" s="159"/>
      <c r="IQZ49" s="159"/>
      <c r="IRA49" s="159"/>
      <c r="IRB49" s="159"/>
      <c r="IRC49" s="159"/>
      <c r="IRD49" s="159"/>
      <c r="IRE49" s="159"/>
      <c r="IRF49" s="159"/>
      <c r="IRG49" s="159"/>
      <c r="IRH49" s="159"/>
      <c r="IRI49" s="159"/>
      <c r="IRJ49" s="159"/>
      <c r="IRK49" s="159"/>
      <c r="IRL49" s="159"/>
      <c r="IRM49" s="159"/>
      <c r="IRN49" s="159"/>
      <c r="IRO49" s="159"/>
      <c r="IRP49" s="159"/>
      <c r="IRQ49" s="159"/>
      <c r="IRR49" s="159"/>
      <c r="IRS49" s="159"/>
      <c r="IRT49" s="159"/>
      <c r="IRU49" s="159"/>
      <c r="IRV49" s="159"/>
      <c r="IRW49" s="159"/>
      <c r="IRX49" s="159"/>
      <c r="IRY49" s="159"/>
      <c r="IRZ49" s="159"/>
      <c r="ISA49" s="159"/>
      <c r="ISB49" s="159"/>
      <c r="ISC49" s="159"/>
      <c r="ISD49" s="159"/>
      <c r="ISE49" s="159"/>
      <c r="ISF49" s="159"/>
      <c r="ISG49" s="159"/>
      <c r="ISH49" s="159"/>
      <c r="ISI49" s="159"/>
      <c r="ISJ49" s="159"/>
      <c r="ISK49" s="159"/>
      <c r="ISL49" s="159"/>
      <c r="ISM49" s="159"/>
      <c r="ISN49" s="159"/>
      <c r="ISO49" s="159"/>
      <c r="ISP49" s="159"/>
      <c r="ISQ49" s="159"/>
      <c r="ISR49" s="159"/>
      <c r="ISS49" s="159"/>
      <c r="IST49" s="159"/>
      <c r="ISU49" s="159"/>
      <c r="ISV49" s="159"/>
      <c r="ISW49" s="159"/>
      <c r="ISX49" s="159"/>
      <c r="ISY49" s="159"/>
      <c r="ISZ49" s="159"/>
      <c r="ITA49" s="159"/>
      <c r="ITB49" s="159"/>
      <c r="ITC49" s="159"/>
      <c r="ITD49" s="159"/>
      <c r="ITE49" s="159"/>
      <c r="ITF49" s="159"/>
      <c r="ITG49" s="159"/>
      <c r="ITH49" s="159"/>
      <c r="ITI49" s="159"/>
      <c r="ITJ49" s="159"/>
      <c r="ITK49" s="159"/>
      <c r="ITL49" s="159"/>
      <c r="ITM49" s="159"/>
      <c r="ITN49" s="159"/>
      <c r="ITO49" s="159"/>
      <c r="ITP49" s="159"/>
      <c r="ITQ49" s="159"/>
      <c r="ITR49" s="159"/>
      <c r="ITS49" s="159"/>
      <c r="ITT49" s="159"/>
      <c r="ITU49" s="159"/>
      <c r="ITV49" s="159"/>
      <c r="ITW49" s="159"/>
      <c r="ITX49" s="159"/>
      <c r="ITY49" s="159"/>
      <c r="ITZ49" s="159"/>
      <c r="IUA49" s="159"/>
      <c r="IUB49" s="159"/>
      <c r="IUC49" s="159"/>
      <c r="IUD49" s="159"/>
      <c r="IUE49" s="159"/>
      <c r="IUF49" s="159"/>
      <c r="IUG49" s="159"/>
      <c r="IUH49" s="159"/>
      <c r="IUI49" s="159"/>
      <c r="IUJ49" s="159"/>
      <c r="IUK49" s="159"/>
      <c r="IUL49" s="159"/>
      <c r="IUM49" s="159"/>
      <c r="IUN49" s="159"/>
      <c r="IUO49" s="159"/>
      <c r="IUP49" s="159"/>
      <c r="IUQ49" s="159"/>
      <c r="IUR49" s="159"/>
      <c r="IUS49" s="159"/>
      <c r="IUT49" s="159"/>
      <c r="IUU49" s="159"/>
      <c r="IUV49" s="159"/>
      <c r="IUW49" s="159"/>
      <c r="IUX49" s="159"/>
      <c r="IUY49" s="159"/>
      <c r="IUZ49" s="159"/>
      <c r="IVA49" s="159"/>
      <c r="IVB49" s="159"/>
      <c r="IVC49" s="159"/>
      <c r="IVD49" s="159"/>
      <c r="IVE49" s="159"/>
      <c r="IVF49" s="159"/>
      <c r="IVG49" s="159"/>
      <c r="IVH49" s="159"/>
      <c r="IVI49" s="159"/>
      <c r="IVJ49" s="159"/>
      <c r="IVK49" s="159"/>
      <c r="IVL49" s="159"/>
      <c r="IVM49" s="159"/>
      <c r="IVN49" s="159"/>
      <c r="IVO49" s="159"/>
      <c r="IVP49" s="159"/>
      <c r="IVQ49" s="159"/>
      <c r="IVR49" s="159"/>
      <c r="IVS49" s="159"/>
      <c r="IVT49" s="159"/>
      <c r="IVU49" s="159"/>
      <c r="IVV49" s="159"/>
      <c r="IVW49" s="159"/>
      <c r="IVX49" s="159"/>
      <c r="IVY49" s="159"/>
      <c r="IVZ49" s="159"/>
      <c r="IWA49" s="159"/>
      <c r="IWB49" s="159"/>
      <c r="IWC49" s="159"/>
      <c r="IWD49" s="159"/>
      <c r="IWE49" s="159"/>
      <c r="IWF49" s="159"/>
      <c r="IWG49" s="159"/>
      <c r="IWH49" s="159"/>
      <c r="IWI49" s="159"/>
      <c r="IWJ49" s="159"/>
      <c r="IWK49" s="159"/>
      <c r="IWL49" s="159"/>
      <c r="IWM49" s="159"/>
      <c r="IWN49" s="159"/>
      <c r="IWO49" s="159"/>
      <c r="IWP49" s="159"/>
      <c r="IWQ49" s="159"/>
      <c r="IWR49" s="159"/>
      <c r="IWS49" s="159"/>
      <c r="IWT49" s="159"/>
      <c r="IWU49" s="159"/>
      <c r="IWV49" s="159"/>
      <c r="IWW49" s="159"/>
      <c r="IWX49" s="159"/>
      <c r="IWY49" s="159"/>
      <c r="IWZ49" s="159"/>
      <c r="IXA49" s="159"/>
      <c r="IXB49" s="159"/>
      <c r="IXC49" s="159"/>
      <c r="IXD49" s="159"/>
      <c r="IXE49" s="159"/>
      <c r="IXF49" s="159"/>
      <c r="IXG49" s="159"/>
      <c r="IXH49" s="159"/>
      <c r="IXI49" s="159"/>
      <c r="IXJ49" s="159"/>
      <c r="IXK49" s="159"/>
      <c r="IXL49" s="159"/>
      <c r="IXM49" s="159"/>
      <c r="IXN49" s="159"/>
      <c r="IXO49" s="159"/>
      <c r="IXP49" s="159"/>
      <c r="IXQ49" s="159"/>
      <c r="IXR49" s="159"/>
      <c r="IXS49" s="159"/>
      <c r="IXT49" s="159"/>
      <c r="IXU49" s="159"/>
      <c r="IXV49" s="159"/>
      <c r="IXW49" s="159"/>
      <c r="IXX49" s="159"/>
      <c r="IXY49" s="159"/>
      <c r="IXZ49" s="159"/>
      <c r="IYA49" s="159"/>
      <c r="IYB49" s="159"/>
      <c r="IYC49" s="159"/>
      <c r="IYD49" s="159"/>
      <c r="IYE49" s="159"/>
      <c r="IYF49" s="159"/>
      <c r="IYG49" s="159"/>
      <c r="IYH49" s="159"/>
      <c r="IYI49" s="159"/>
      <c r="IYJ49" s="159"/>
      <c r="IYK49" s="159"/>
      <c r="IYL49" s="159"/>
      <c r="IYM49" s="159"/>
      <c r="IYN49" s="159"/>
      <c r="IYO49" s="159"/>
      <c r="IYP49" s="159"/>
      <c r="IYQ49" s="159"/>
      <c r="IYR49" s="159"/>
      <c r="IYS49" s="159"/>
      <c r="IYT49" s="159"/>
      <c r="IYU49" s="159"/>
      <c r="IYV49" s="159"/>
      <c r="IYW49" s="159"/>
      <c r="IYX49" s="159"/>
      <c r="IYY49" s="159"/>
      <c r="IYZ49" s="159"/>
      <c r="IZA49" s="159"/>
      <c r="IZB49" s="159"/>
      <c r="IZC49" s="159"/>
      <c r="IZD49" s="159"/>
      <c r="IZE49" s="159"/>
      <c r="IZF49" s="159"/>
      <c r="IZG49" s="159"/>
      <c r="IZH49" s="159"/>
      <c r="IZI49" s="159"/>
      <c r="IZJ49" s="159"/>
      <c r="IZK49" s="159"/>
      <c r="IZL49" s="159"/>
      <c r="IZM49" s="159"/>
      <c r="IZN49" s="159"/>
      <c r="IZO49" s="159"/>
      <c r="IZP49" s="159"/>
      <c r="IZQ49" s="159"/>
      <c r="IZR49" s="159"/>
      <c r="IZS49" s="159"/>
      <c r="IZT49" s="159"/>
      <c r="IZU49" s="159"/>
      <c r="IZV49" s="159"/>
      <c r="IZW49" s="159"/>
      <c r="IZX49" s="159"/>
      <c r="IZY49" s="159"/>
      <c r="IZZ49" s="159"/>
      <c r="JAA49" s="159"/>
      <c r="JAB49" s="159"/>
      <c r="JAC49" s="159"/>
      <c r="JAD49" s="159"/>
      <c r="JAE49" s="159"/>
      <c r="JAF49" s="159"/>
      <c r="JAG49" s="159"/>
      <c r="JAH49" s="159"/>
      <c r="JAI49" s="159"/>
      <c r="JAJ49" s="159"/>
      <c r="JAK49" s="159"/>
      <c r="JAL49" s="159"/>
      <c r="JAM49" s="159"/>
      <c r="JAN49" s="159"/>
      <c r="JAO49" s="159"/>
      <c r="JAP49" s="159"/>
      <c r="JAQ49" s="159"/>
      <c r="JAR49" s="159"/>
      <c r="JAS49" s="159"/>
      <c r="JAT49" s="159"/>
      <c r="JAU49" s="159"/>
      <c r="JAV49" s="159"/>
      <c r="JAW49" s="159"/>
      <c r="JAX49" s="159"/>
      <c r="JAY49" s="159"/>
      <c r="JAZ49" s="159"/>
      <c r="JBA49" s="159"/>
      <c r="JBB49" s="159"/>
      <c r="JBC49" s="159"/>
      <c r="JBD49" s="159"/>
      <c r="JBE49" s="159"/>
      <c r="JBF49" s="159"/>
      <c r="JBG49" s="159"/>
      <c r="JBH49" s="159"/>
      <c r="JBI49" s="159"/>
      <c r="JBJ49" s="159"/>
      <c r="JBK49" s="159"/>
      <c r="JBL49" s="159"/>
      <c r="JBM49" s="159"/>
      <c r="JBN49" s="159"/>
      <c r="JBO49" s="159"/>
      <c r="JBP49" s="159"/>
      <c r="JBQ49" s="159"/>
      <c r="JBR49" s="159"/>
      <c r="JBS49" s="159"/>
      <c r="JBT49" s="159"/>
      <c r="JBU49" s="159"/>
      <c r="JBV49" s="159"/>
      <c r="JBW49" s="159"/>
      <c r="JBX49" s="159"/>
      <c r="JBY49" s="159"/>
      <c r="JBZ49" s="159"/>
      <c r="JCA49" s="159"/>
      <c r="JCB49" s="159"/>
      <c r="JCC49" s="159"/>
      <c r="JCD49" s="159"/>
      <c r="JCE49" s="159"/>
      <c r="JCF49" s="159"/>
      <c r="JCG49" s="159"/>
      <c r="JCH49" s="159"/>
      <c r="JCI49" s="159"/>
      <c r="JCJ49" s="159"/>
      <c r="JCK49" s="159"/>
      <c r="JCL49" s="159"/>
      <c r="JCM49" s="159"/>
      <c r="JCN49" s="159"/>
      <c r="JCO49" s="159"/>
      <c r="JCP49" s="159"/>
      <c r="JCQ49" s="159"/>
      <c r="JCR49" s="159"/>
      <c r="JCS49" s="159"/>
      <c r="JCT49" s="159"/>
      <c r="JCU49" s="159"/>
      <c r="JCV49" s="159"/>
      <c r="JCW49" s="159"/>
      <c r="JCX49" s="159"/>
      <c r="JCY49" s="159"/>
      <c r="JCZ49" s="159"/>
      <c r="JDA49" s="159"/>
      <c r="JDB49" s="159"/>
      <c r="JDC49" s="159"/>
      <c r="JDD49" s="159"/>
      <c r="JDE49" s="159"/>
      <c r="JDF49" s="159"/>
      <c r="JDG49" s="159"/>
      <c r="JDH49" s="159"/>
      <c r="JDI49" s="159"/>
      <c r="JDJ49" s="159"/>
      <c r="JDK49" s="159"/>
      <c r="JDL49" s="159"/>
      <c r="JDM49" s="159"/>
      <c r="JDN49" s="159"/>
      <c r="JDO49" s="159"/>
      <c r="JDP49" s="159"/>
      <c r="JDQ49" s="159"/>
      <c r="JDR49" s="159"/>
      <c r="JDS49" s="159"/>
      <c r="JDT49" s="159"/>
      <c r="JDU49" s="159"/>
      <c r="JDV49" s="159"/>
      <c r="JDW49" s="159"/>
      <c r="JDX49" s="159"/>
      <c r="JDY49" s="159"/>
      <c r="JDZ49" s="159"/>
      <c r="JEA49" s="159"/>
      <c r="JEB49" s="159"/>
      <c r="JEC49" s="159"/>
      <c r="JED49" s="159"/>
      <c r="JEE49" s="159"/>
      <c r="JEF49" s="159"/>
      <c r="JEG49" s="159"/>
      <c r="JEH49" s="159"/>
      <c r="JEI49" s="159"/>
      <c r="JEJ49" s="159"/>
      <c r="JEK49" s="159"/>
      <c r="JEL49" s="159"/>
      <c r="JEM49" s="159"/>
      <c r="JEN49" s="159"/>
      <c r="JEO49" s="159"/>
      <c r="JEP49" s="159"/>
      <c r="JEQ49" s="159"/>
      <c r="JER49" s="159"/>
      <c r="JES49" s="159"/>
      <c r="JET49" s="159"/>
      <c r="JEU49" s="159"/>
      <c r="JEV49" s="159"/>
      <c r="JEW49" s="159"/>
      <c r="JEX49" s="159"/>
      <c r="JEY49" s="159"/>
      <c r="JEZ49" s="159"/>
      <c r="JFA49" s="159"/>
      <c r="JFB49" s="159"/>
      <c r="JFC49" s="159"/>
      <c r="JFD49" s="159"/>
      <c r="JFE49" s="159"/>
      <c r="JFF49" s="159"/>
      <c r="JFG49" s="159"/>
      <c r="JFH49" s="159"/>
      <c r="JFI49" s="159"/>
      <c r="JFJ49" s="159"/>
      <c r="JFK49" s="159"/>
      <c r="JFL49" s="159"/>
      <c r="JFM49" s="159"/>
      <c r="JFN49" s="159"/>
      <c r="JFO49" s="159"/>
      <c r="JFP49" s="159"/>
      <c r="JFQ49" s="159"/>
      <c r="JFR49" s="159"/>
      <c r="JFS49" s="159"/>
      <c r="JFT49" s="159"/>
      <c r="JFU49" s="159"/>
      <c r="JFV49" s="159"/>
      <c r="JFW49" s="159"/>
      <c r="JFX49" s="159"/>
      <c r="JFY49" s="159"/>
      <c r="JFZ49" s="159"/>
      <c r="JGA49" s="159"/>
      <c r="JGB49" s="159"/>
      <c r="JGC49" s="159"/>
      <c r="JGD49" s="159"/>
      <c r="JGE49" s="159"/>
      <c r="JGF49" s="159"/>
      <c r="JGG49" s="159"/>
      <c r="JGH49" s="159"/>
      <c r="JGI49" s="159"/>
      <c r="JGJ49" s="159"/>
      <c r="JGK49" s="159"/>
      <c r="JGL49" s="159"/>
      <c r="JGM49" s="159"/>
      <c r="JGN49" s="159"/>
      <c r="JGO49" s="159"/>
      <c r="JGP49" s="159"/>
      <c r="JGQ49" s="159"/>
      <c r="JGR49" s="159"/>
      <c r="JGS49" s="159"/>
      <c r="JGT49" s="159"/>
      <c r="JGU49" s="159"/>
      <c r="JGV49" s="159"/>
      <c r="JGW49" s="159"/>
      <c r="JGX49" s="159"/>
      <c r="JGY49" s="159"/>
      <c r="JGZ49" s="159"/>
      <c r="JHA49" s="159"/>
      <c r="JHB49" s="159"/>
      <c r="JHC49" s="159"/>
      <c r="JHD49" s="159"/>
      <c r="JHE49" s="159"/>
      <c r="JHF49" s="159"/>
      <c r="JHG49" s="159"/>
      <c r="JHH49" s="159"/>
      <c r="JHI49" s="159"/>
      <c r="JHJ49" s="159"/>
      <c r="JHK49" s="159"/>
      <c r="JHL49" s="159"/>
      <c r="JHM49" s="159"/>
      <c r="JHN49" s="159"/>
      <c r="JHO49" s="159"/>
      <c r="JHP49" s="159"/>
      <c r="JHQ49" s="159"/>
      <c r="JHR49" s="159"/>
      <c r="JHS49" s="159"/>
      <c r="JHT49" s="159"/>
      <c r="JHU49" s="159"/>
      <c r="JHV49" s="159"/>
      <c r="JHW49" s="159"/>
      <c r="JHX49" s="159"/>
      <c r="JHY49" s="159"/>
      <c r="JHZ49" s="159"/>
      <c r="JIA49" s="159"/>
      <c r="JIB49" s="159"/>
      <c r="JIC49" s="159"/>
      <c r="JID49" s="159"/>
      <c r="JIE49" s="159"/>
      <c r="JIF49" s="159"/>
      <c r="JIG49" s="159"/>
      <c r="JIH49" s="159"/>
      <c r="JII49" s="159"/>
      <c r="JIJ49" s="159"/>
      <c r="JIK49" s="159"/>
      <c r="JIL49" s="159"/>
      <c r="JIM49" s="159"/>
      <c r="JIN49" s="159"/>
      <c r="JIO49" s="159"/>
      <c r="JIP49" s="159"/>
      <c r="JIQ49" s="159"/>
      <c r="JIR49" s="159"/>
      <c r="JIS49" s="159"/>
      <c r="JIT49" s="159"/>
      <c r="JIU49" s="159"/>
      <c r="JIV49" s="159"/>
      <c r="JIW49" s="159"/>
      <c r="JIX49" s="159"/>
      <c r="JIY49" s="159"/>
      <c r="JIZ49" s="159"/>
      <c r="JJA49" s="159"/>
      <c r="JJB49" s="159"/>
      <c r="JJC49" s="159"/>
      <c r="JJD49" s="159"/>
      <c r="JJE49" s="159"/>
      <c r="JJF49" s="159"/>
      <c r="JJG49" s="159"/>
      <c r="JJH49" s="159"/>
      <c r="JJI49" s="159"/>
      <c r="JJJ49" s="159"/>
      <c r="JJK49" s="159"/>
      <c r="JJL49" s="159"/>
      <c r="JJM49" s="159"/>
      <c r="JJN49" s="159"/>
      <c r="JJO49" s="159"/>
      <c r="JJP49" s="159"/>
      <c r="JJQ49" s="159"/>
      <c r="JJR49" s="159"/>
      <c r="JJS49" s="159"/>
      <c r="JJT49" s="159"/>
      <c r="JJU49" s="159"/>
      <c r="JJV49" s="159"/>
      <c r="JJW49" s="159"/>
      <c r="JJX49" s="159"/>
      <c r="JJY49" s="159"/>
      <c r="JJZ49" s="159"/>
      <c r="JKA49" s="159"/>
      <c r="JKB49" s="159"/>
      <c r="JKC49" s="159"/>
      <c r="JKD49" s="159"/>
      <c r="JKE49" s="159"/>
      <c r="JKF49" s="159"/>
      <c r="JKG49" s="159"/>
      <c r="JKH49" s="159"/>
      <c r="JKI49" s="159"/>
      <c r="JKJ49" s="159"/>
      <c r="JKK49" s="159"/>
      <c r="JKL49" s="159"/>
      <c r="JKM49" s="159"/>
      <c r="JKN49" s="159"/>
      <c r="JKO49" s="159"/>
      <c r="JKP49" s="159"/>
      <c r="JKQ49" s="159"/>
      <c r="JKR49" s="159"/>
      <c r="JKS49" s="159"/>
      <c r="JKT49" s="159"/>
      <c r="JKU49" s="159"/>
      <c r="JKV49" s="159"/>
      <c r="JKW49" s="159"/>
      <c r="JKX49" s="159"/>
      <c r="JKY49" s="159"/>
      <c r="JKZ49" s="159"/>
      <c r="JLA49" s="159"/>
      <c r="JLB49" s="159"/>
      <c r="JLC49" s="159"/>
      <c r="JLD49" s="159"/>
      <c r="JLE49" s="159"/>
      <c r="JLF49" s="159"/>
      <c r="JLG49" s="159"/>
      <c r="JLH49" s="159"/>
      <c r="JLI49" s="159"/>
      <c r="JLJ49" s="159"/>
      <c r="JLK49" s="159"/>
      <c r="JLL49" s="159"/>
      <c r="JLM49" s="159"/>
      <c r="JLN49" s="159"/>
      <c r="JLO49" s="159"/>
      <c r="JLP49" s="159"/>
      <c r="JLQ49" s="159"/>
      <c r="JLR49" s="159"/>
      <c r="JLS49" s="159"/>
      <c r="JLT49" s="159"/>
      <c r="JLU49" s="159"/>
      <c r="JLV49" s="159"/>
      <c r="JLW49" s="159"/>
      <c r="JLX49" s="159"/>
      <c r="JLY49" s="159"/>
      <c r="JLZ49" s="159"/>
      <c r="JMA49" s="159"/>
      <c r="JMB49" s="159"/>
      <c r="JMC49" s="159"/>
      <c r="JMD49" s="159"/>
      <c r="JME49" s="159"/>
      <c r="JMF49" s="159"/>
      <c r="JMG49" s="159"/>
      <c r="JMH49" s="159"/>
      <c r="JMI49" s="159"/>
      <c r="JMJ49" s="159"/>
      <c r="JMK49" s="159"/>
      <c r="JML49" s="159"/>
      <c r="JMM49" s="159"/>
      <c r="JMN49" s="159"/>
      <c r="JMO49" s="159"/>
      <c r="JMP49" s="159"/>
      <c r="JMQ49" s="159"/>
      <c r="JMR49" s="159"/>
      <c r="JMS49" s="159"/>
      <c r="JMT49" s="159"/>
      <c r="JMU49" s="159"/>
      <c r="JMV49" s="159"/>
      <c r="JMW49" s="159"/>
      <c r="JMX49" s="159"/>
      <c r="JMY49" s="159"/>
      <c r="JMZ49" s="159"/>
      <c r="JNA49" s="159"/>
      <c r="JNB49" s="159"/>
      <c r="JNC49" s="159"/>
      <c r="JND49" s="159"/>
      <c r="JNE49" s="159"/>
      <c r="JNF49" s="159"/>
      <c r="JNG49" s="159"/>
      <c r="JNH49" s="159"/>
      <c r="JNI49" s="159"/>
      <c r="JNJ49" s="159"/>
      <c r="JNK49" s="159"/>
      <c r="JNL49" s="159"/>
      <c r="JNM49" s="159"/>
      <c r="JNN49" s="159"/>
      <c r="JNO49" s="159"/>
      <c r="JNP49" s="159"/>
      <c r="JNQ49" s="159"/>
      <c r="JNR49" s="159"/>
      <c r="JNS49" s="159"/>
      <c r="JNT49" s="159"/>
      <c r="JNU49" s="159"/>
      <c r="JNV49" s="159"/>
      <c r="JNW49" s="159"/>
      <c r="JNX49" s="159"/>
      <c r="JNY49" s="159"/>
      <c r="JNZ49" s="159"/>
      <c r="JOA49" s="159"/>
      <c r="JOB49" s="159"/>
      <c r="JOC49" s="159"/>
      <c r="JOD49" s="159"/>
      <c r="JOE49" s="159"/>
      <c r="JOF49" s="159"/>
      <c r="JOG49" s="159"/>
      <c r="JOH49" s="159"/>
      <c r="JOI49" s="159"/>
      <c r="JOJ49" s="159"/>
      <c r="JOK49" s="159"/>
      <c r="JOL49" s="159"/>
      <c r="JOM49" s="159"/>
      <c r="JON49" s="159"/>
      <c r="JOO49" s="159"/>
      <c r="JOP49" s="159"/>
      <c r="JOQ49" s="159"/>
      <c r="JOR49" s="159"/>
      <c r="JOS49" s="159"/>
      <c r="JOT49" s="159"/>
      <c r="JOU49" s="159"/>
      <c r="JOV49" s="159"/>
      <c r="JOW49" s="159"/>
      <c r="JOX49" s="159"/>
      <c r="JOY49" s="159"/>
      <c r="JOZ49" s="159"/>
      <c r="JPA49" s="159"/>
      <c r="JPB49" s="159"/>
      <c r="JPC49" s="159"/>
      <c r="JPD49" s="159"/>
      <c r="JPE49" s="159"/>
      <c r="JPF49" s="159"/>
      <c r="JPG49" s="159"/>
      <c r="JPH49" s="159"/>
      <c r="JPI49" s="159"/>
      <c r="JPJ49" s="159"/>
      <c r="JPK49" s="159"/>
      <c r="JPL49" s="159"/>
      <c r="JPM49" s="159"/>
      <c r="JPN49" s="159"/>
      <c r="JPO49" s="159"/>
      <c r="JPP49" s="159"/>
      <c r="JPQ49" s="159"/>
      <c r="JPR49" s="159"/>
      <c r="JPS49" s="159"/>
      <c r="JPT49" s="159"/>
      <c r="JPU49" s="159"/>
      <c r="JPV49" s="159"/>
      <c r="JPW49" s="159"/>
      <c r="JPX49" s="159"/>
      <c r="JPY49" s="159"/>
      <c r="JPZ49" s="159"/>
      <c r="JQA49" s="159"/>
      <c r="JQB49" s="159"/>
      <c r="JQC49" s="159"/>
      <c r="JQD49" s="159"/>
      <c r="JQE49" s="159"/>
      <c r="JQF49" s="159"/>
      <c r="JQG49" s="159"/>
      <c r="JQH49" s="159"/>
      <c r="JQI49" s="159"/>
      <c r="JQJ49" s="159"/>
      <c r="JQK49" s="159"/>
      <c r="JQL49" s="159"/>
      <c r="JQM49" s="159"/>
      <c r="JQN49" s="159"/>
      <c r="JQO49" s="159"/>
      <c r="JQP49" s="159"/>
      <c r="JQQ49" s="159"/>
      <c r="JQR49" s="159"/>
      <c r="JQS49" s="159"/>
      <c r="JQT49" s="159"/>
      <c r="JQU49" s="159"/>
      <c r="JQV49" s="159"/>
      <c r="JQW49" s="159"/>
      <c r="JQX49" s="159"/>
      <c r="JQY49" s="159"/>
      <c r="JQZ49" s="159"/>
      <c r="JRA49" s="159"/>
      <c r="JRB49" s="159"/>
      <c r="JRC49" s="159"/>
      <c r="JRD49" s="159"/>
      <c r="JRE49" s="159"/>
      <c r="JRF49" s="159"/>
      <c r="JRG49" s="159"/>
      <c r="JRH49" s="159"/>
      <c r="JRI49" s="159"/>
      <c r="JRJ49" s="159"/>
      <c r="JRK49" s="159"/>
      <c r="JRL49" s="159"/>
      <c r="JRM49" s="159"/>
      <c r="JRN49" s="159"/>
      <c r="JRO49" s="159"/>
      <c r="JRP49" s="159"/>
      <c r="JRQ49" s="159"/>
      <c r="JRR49" s="159"/>
      <c r="JRS49" s="159"/>
      <c r="JRT49" s="159"/>
      <c r="JRU49" s="159"/>
      <c r="JRV49" s="159"/>
      <c r="JRW49" s="159"/>
      <c r="JRX49" s="159"/>
      <c r="JRY49" s="159"/>
      <c r="JRZ49" s="159"/>
      <c r="JSA49" s="159"/>
      <c r="JSB49" s="159"/>
      <c r="JSC49" s="159"/>
      <c r="JSD49" s="159"/>
      <c r="JSE49" s="159"/>
      <c r="JSF49" s="159"/>
      <c r="JSG49" s="159"/>
      <c r="JSH49" s="159"/>
      <c r="JSI49" s="159"/>
      <c r="JSJ49" s="159"/>
      <c r="JSK49" s="159"/>
      <c r="JSL49" s="159"/>
      <c r="JSM49" s="159"/>
      <c r="JSN49" s="159"/>
      <c r="JSO49" s="159"/>
      <c r="JSP49" s="159"/>
      <c r="JSQ49" s="159"/>
      <c r="JSR49" s="159"/>
      <c r="JSS49" s="159"/>
      <c r="JST49" s="159"/>
      <c r="JSU49" s="159"/>
      <c r="JSV49" s="159"/>
      <c r="JSW49" s="159"/>
      <c r="JSX49" s="159"/>
      <c r="JSY49" s="159"/>
      <c r="JSZ49" s="159"/>
      <c r="JTA49" s="159"/>
      <c r="JTB49" s="159"/>
      <c r="JTC49" s="159"/>
      <c r="JTD49" s="159"/>
      <c r="JTE49" s="159"/>
      <c r="JTF49" s="159"/>
      <c r="JTG49" s="159"/>
      <c r="JTH49" s="159"/>
      <c r="JTI49" s="159"/>
      <c r="JTJ49" s="159"/>
      <c r="JTK49" s="159"/>
      <c r="JTL49" s="159"/>
      <c r="JTM49" s="159"/>
      <c r="JTN49" s="159"/>
      <c r="JTO49" s="159"/>
      <c r="JTP49" s="159"/>
      <c r="JTQ49" s="159"/>
      <c r="JTR49" s="159"/>
      <c r="JTS49" s="159"/>
      <c r="JTT49" s="159"/>
      <c r="JTU49" s="159"/>
      <c r="JTV49" s="159"/>
      <c r="JTW49" s="159"/>
      <c r="JTX49" s="159"/>
      <c r="JTY49" s="159"/>
      <c r="JTZ49" s="159"/>
      <c r="JUA49" s="159"/>
      <c r="JUB49" s="159"/>
      <c r="JUC49" s="159"/>
      <c r="JUD49" s="159"/>
      <c r="JUE49" s="159"/>
      <c r="JUF49" s="159"/>
      <c r="JUG49" s="159"/>
      <c r="JUH49" s="159"/>
      <c r="JUI49" s="159"/>
      <c r="JUJ49" s="159"/>
      <c r="JUK49" s="159"/>
      <c r="JUL49" s="159"/>
      <c r="JUM49" s="159"/>
      <c r="JUN49" s="159"/>
      <c r="JUO49" s="159"/>
      <c r="JUP49" s="159"/>
      <c r="JUQ49" s="159"/>
      <c r="JUR49" s="159"/>
      <c r="JUS49" s="159"/>
      <c r="JUT49" s="159"/>
      <c r="JUU49" s="159"/>
      <c r="JUV49" s="159"/>
      <c r="JUW49" s="159"/>
      <c r="JUX49" s="159"/>
      <c r="JUY49" s="159"/>
      <c r="JUZ49" s="159"/>
      <c r="JVA49" s="159"/>
      <c r="JVB49" s="159"/>
      <c r="JVC49" s="159"/>
      <c r="JVD49" s="159"/>
      <c r="JVE49" s="159"/>
      <c r="JVF49" s="159"/>
      <c r="JVG49" s="159"/>
      <c r="JVH49" s="159"/>
      <c r="JVI49" s="159"/>
      <c r="JVJ49" s="159"/>
      <c r="JVK49" s="159"/>
      <c r="JVL49" s="159"/>
      <c r="JVM49" s="159"/>
      <c r="JVN49" s="159"/>
      <c r="JVO49" s="159"/>
      <c r="JVP49" s="159"/>
      <c r="JVQ49" s="159"/>
      <c r="JVR49" s="159"/>
      <c r="JVS49" s="159"/>
      <c r="JVT49" s="159"/>
      <c r="JVU49" s="159"/>
      <c r="JVV49" s="159"/>
      <c r="JVW49" s="159"/>
      <c r="JVX49" s="159"/>
      <c r="JVY49" s="159"/>
      <c r="JVZ49" s="159"/>
      <c r="JWA49" s="159"/>
      <c r="JWB49" s="159"/>
      <c r="JWC49" s="159"/>
      <c r="JWD49" s="159"/>
      <c r="JWE49" s="159"/>
      <c r="JWF49" s="159"/>
      <c r="JWG49" s="159"/>
      <c r="JWH49" s="159"/>
      <c r="JWI49" s="159"/>
      <c r="JWJ49" s="159"/>
      <c r="JWK49" s="159"/>
      <c r="JWL49" s="159"/>
      <c r="JWM49" s="159"/>
      <c r="JWN49" s="159"/>
      <c r="JWO49" s="159"/>
      <c r="JWP49" s="159"/>
      <c r="JWQ49" s="159"/>
      <c r="JWR49" s="159"/>
      <c r="JWS49" s="159"/>
      <c r="JWT49" s="159"/>
      <c r="JWU49" s="159"/>
      <c r="JWV49" s="159"/>
      <c r="JWW49" s="159"/>
      <c r="JWX49" s="159"/>
      <c r="JWY49" s="159"/>
      <c r="JWZ49" s="159"/>
      <c r="JXA49" s="159"/>
      <c r="JXB49" s="159"/>
      <c r="JXC49" s="159"/>
      <c r="JXD49" s="159"/>
      <c r="JXE49" s="159"/>
      <c r="JXF49" s="159"/>
      <c r="JXG49" s="159"/>
      <c r="JXH49" s="159"/>
      <c r="JXI49" s="159"/>
      <c r="JXJ49" s="159"/>
      <c r="JXK49" s="159"/>
      <c r="JXL49" s="159"/>
      <c r="JXM49" s="159"/>
      <c r="JXN49" s="159"/>
      <c r="JXO49" s="159"/>
      <c r="JXP49" s="159"/>
      <c r="JXQ49" s="159"/>
      <c r="JXR49" s="159"/>
      <c r="JXS49" s="159"/>
      <c r="JXT49" s="159"/>
      <c r="JXU49" s="159"/>
      <c r="JXV49" s="159"/>
      <c r="JXW49" s="159"/>
      <c r="JXX49" s="159"/>
      <c r="JXY49" s="159"/>
      <c r="JXZ49" s="159"/>
      <c r="JYA49" s="159"/>
      <c r="JYB49" s="159"/>
      <c r="JYC49" s="159"/>
      <c r="JYD49" s="159"/>
      <c r="JYE49" s="159"/>
      <c r="JYF49" s="159"/>
      <c r="JYG49" s="159"/>
      <c r="JYH49" s="159"/>
      <c r="JYI49" s="159"/>
      <c r="JYJ49" s="159"/>
      <c r="JYK49" s="159"/>
      <c r="JYL49" s="159"/>
      <c r="JYM49" s="159"/>
      <c r="JYN49" s="159"/>
      <c r="JYO49" s="159"/>
      <c r="JYP49" s="159"/>
      <c r="JYQ49" s="159"/>
      <c r="JYR49" s="159"/>
      <c r="JYS49" s="159"/>
      <c r="JYT49" s="159"/>
      <c r="JYU49" s="159"/>
      <c r="JYV49" s="159"/>
      <c r="JYW49" s="159"/>
      <c r="JYX49" s="159"/>
      <c r="JYY49" s="159"/>
      <c r="JYZ49" s="159"/>
      <c r="JZA49" s="159"/>
      <c r="JZB49" s="159"/>
      <c r="JZC49" s="159"/>
      <c r="JZD49" s="159"/>
      <c r="JZE49" s="159"/>
      <c r="JZF49" s="159"/>
      <c r="JZG49" s="159"/>
      <c r="JZH49" s="159"/>
      <c r="JZI49" s="159"/>
      <c r="JZJ49" s="159"/>
      <c r="JZK49" s="159"/>
      <c r="JZL49" s="159"/>
      <c r="JZM49" s="159"/>
      <c r="JZN49" s="159"/>
      <c r="JZO49" s="159"/>
      <c r="JZP49" s="159"/>
      <c r="JZQ49" s="159"/>
      <c r="JZR49" s="159"/>
      <c r="JZS49" s="159"/>
      <c r="JZT49" s="159"/>
      <c r="JZU49" s="159"/>
      <c r="JZV49" s="159"/>
      <c r="JZW49" s="159"/>
      <c r="JZX49" s="159"/>
      <c r="JZY49" s="159"/>
      <c r="JZZ49" s="159"/>
      <c r="KAA49" s="159"/>
      <c r="KAB49" s="159"/>
      <c r="KAC49" s="159"/>
      <c r="KAD49" s="159"/>
      <c r="KAE49" s="159"/>
      <c r="KAF49" s="159"/>
      <c r="KAG49" s="159"/>
      <c r="KAH49" s="159"/>
      <c r="KAI49" s="159"/>
      <c r="KAJ49" s="159"/>
      <c r="KAK49" s="159"/>
      <c r="KAL49" s="159"/>
      <c r="KAM49" s="159"/>
      <c r="KAN49" s="159"/>
      <c r="KAO49" s="159"/>
      <c r="KAP49" s="159"/>
      <c r="KAQ49" s="159"/>
      <c r="KAR49" s="159"/>
      <c r="KAS49" s="159"/>
      <c r="KAT49" s="159"/>
      <c r="KAU49" s="159"/>
      <c r="KAV49" s="159"/>
      <c r="KAW49" s="159"/>
      <c r="KAX49" s="159"/>
      <c r="KAY49" s="159"/>
      <c r="KAZ49" s="159"/>
      <c r="KBA49" s="159"/>
      <c r="KBB49" s="159"/>
      <c r="KBC49" s="159"/>
      <c r="KBD49" s="159"/>
      <c r="KBE49" s="159"/>
      <c r="KBF49" s="159"/>
      <c r="KBG49" s="159"/>
      <c r="KBH49" s="159"/>
      <c r="KBI49" s="159"/>
      <c r="KBJ49" s="159"/>
      <c r="KBK49" s="159"/>
      <c r="KBL49" s="159"/>
      <c r="KBM49" s="159"/>
      <c r="KBN49" s="159"/>
      <c r="KBO49" s="159"/>
      <c r="KBP49" s="159"/>
      <c r="KBQ49" s="159"/>
      <c r="KBR49" s="159"/>
      <c r="KBS49" s="159"/>
      <c r="KBT49" s="159"/>
      <c r="KBU49" s="159"/>
      <c r="KBV49" s="159"/>
      <c r="KBW49" s="159"/>
      <c r="KBX49" s="159"/>
      <c r="KBY49" s="159"/>
      <c r="KBZ49" s="159"/>
      <c r="KCA49" s="159"/>
      <c r="KCB49" s="159"/>
      <c r="KCC49" s="159"/>
      <c r="KCD49" s="159"/>
      <c r="KCE49" s="159"/>
      <c r="KCF49" s="159"/>
      <c r="KCG49" s="159"/>
      <c r="KCH49" s="159"/>
      <c r="KCI49" s="159"/>
      <c r="KCJ49" s="159"/>
      <c r="KCK49" s="159"/>
      <c r="KCL49" s="159"/>
      <c r="KCM49" s="159"/>
      <c r="KCN49" s="159"/>
      <c r="KCO49" s="159"/>
      <c r="KCP49" s="159"/>
      <c r="KCQ49" s="159"/>
      <c r="KCR49" s="159"/>
      <c r="KCS49" s="159"/>
      <c r="KCT49" s="159"/>
      <c r="KCU49" s="159"/>
      <c r="KCV49" s="159"/>
      <c r="KCW49" s="159"/>
      <c r="KCX49" s="159"/>
      <c r="KCY49" s="159"/>
      <c r="KCZ49" s="159"/>
      <c r="KDA49" s="159"/>
      <c r="KDB49" s="159"/>
      <c r="KDC49" s="159"/>
      <c r="KDD49" s="159"/>
      <c r="KDE49" s="159"/>
      <c r="KDF49" s="159"/>
      <c r="KDG49" s="159"/>
      <c r="KDH49" s="159"/>
      <c r="KDI49" s="159"/>
      <c r="KDJ49" s="159"/>
      <c r="KDK49" s="159"/>
      <c r="KDL49" s="159"/>
      <c r="KDM49" s="159"/>
      <c r="KDN49" s="159"/>
      <c r="KDO49" s="159"/>
      <c r="KDP49" s="159"/>
      <c r="KDQ49" s="159"/>
      <c r="KDR49" s="159"/>
      <c r="KDS49" s="159"/>
      <c r="KDT49" s="159"/>
      <c r="KDU49" s="159"/>
      <c r="KDV49" s="159"/>
      <c r="KDW49" s="159"/>
      <c r="KDX49" s="159"/>
      <c r="KDY49" s="159"/>
      <c r="KDZ49" s="159"/>
      <c r="KEA49" s="159"/>
      <c r="KEB49" s="159"/>
      <c r="KEC49" s="159"/>
      <c r="KED49" s="159"/>
      <c r="KEE49" s="159"/>
      <c r="KEF49" s="159"/>
      <c r="KEG49" s="159"/>
      <c r="KEH49" s="159"/>
      <c r="KEI49" s="159"/>
      <c r="KEJ49" s="159"/>
      <c r="KEK49" s="159"/>
      <c r="KEL49" s="159"/>
      <c r="KEM49" s="159"/>
      <c r="KEN49" s="159"/>
      <c r="KEO49" s="159"/>
      <c r="KEP49" s="159"/>
      <c r="KEQ49" s="159"/>
      <c r="KER49" s="159"/>
      <c r="KES49" s="159"/>
      <c r="KET49" s="159"/>
      <c r="KEU49" s="159"/>
      <c r="KEV49" s="159"/>
      <c r="KEW49" s="159"/>
      <c r="KEX49" s="159"/>
      <c r="KEY49" s="159"/>
      <c r="KEZ49" s="159"/>
      <c r="KFA49" s="159"/>
      <c r="KFB49" s="159"/>
      <c r="KFC49" s="159"/>
      <c r="KFD49" s="159"/>
      <c r="KFE49" s="159"/>
      <c r="KFF49" s="159"/>
      <c r="KFG49" s="159"/>
      <c r="KFH49" s="159"/>
      <c r="KFI49" s="159"/>
      <c r="KFJ49" s="159"/>
      <c r="KFK49" s="159"/>
      <c r="KFL49" s="159"/>
      <c r="KFM49" s="159"/>
      <c r="KFN49" s="159"/>
      <c r="KFO49" s="159"/>
      <c r="KFP49" s="159"/>
      <c r="KFQ49" s="159"/>
      <c r="KFR49" s="159"/>
      <c r="KFS49" s="159"/>
      <c r="KFT49" s="159"/>
      <c r="KFU49" s="159"/>
      <c r="KFV49" s="159"/>
      <c r="KFW49" s="159"/>
      <c r="KFX49" s="159"/>
      <c r="KFY49" s="159"/>
      <c r="KFZ49" s="159"/>
      <c r="KGA49" s="159"/>
      <c r="KGB49" s="159"/>
      <c r="KGC49" s="159"/>
      <c r="KGD49" s="159"/>
      <c r="KGE49" s="159"/>
      <c r="KGF49" s="159"/>
      <c r="KGG49" s="159"/>
      <c r="KGH49" s="159"/>
      <c r="KGI49" s="159"/>
      <c r="KGJ49" s="159"/>
      <c r="KGK49" s="159"/>
      <c r="KGL49" s="159"/>
      <c r="KGM49" s="159"/>
      <c r="KGN49" s="159"/>
      <c r="KGO49" s="159"/>
      <c r="KGP49" s="159"/>
      <c r="KGQ49" s="159"/>
      <c r="KGR49" s="159"/>
      <c r="KGS49" s="159"/>
      <c r="KGT49" s="159"/>
      <c r="KGU49" s="159"/>
      <c r="KGV49" s="159"/>
      <c r="KGW49" s="159"/>
      <c r="KGX49" s="159"/>
      <c r="KGY49" s="159"/>
      <c r="KGZ49" s="159"/>
      <c r="KHA49" s="159"/>
      <c r="KHB49" s="159"/>
      <c r="KHC49" s="159"/>
      <c r="KHD49" s="159"/>
      <c r="KHE49" s="159"/>
      <c r="KHF49" s="159"/>
      <c r="KHG49" s="159"/>
      <c r="KHH49" s="159"/>
      <c r="KHI49" s="159"/>
      <c r="KHJ49" s="159"/>
      <c r="KHK49" s="159"/>
      <c r="KHL49" s="159"/>
      <c r="KHM49" s="159"/>
      <c r="KHN49" s="159"/>
      <c r="KHO49" s="159"/>
      <c r="KHP49" s="159"/>
      <c r="KHQ49" s="159"/>
      <c r="KHR49" s="159"/>
      <c r="KHS49" s="159"/>
      <c r="KHT49" s="159"/>
      <c r="KHU49" s="159"/>
      <c r="KHV49" s="159"/>
      <c r="KHW49" s="159"/>
      <c r="KHX49" s="159"/>
      <c r="KHY49" s="159"/>
      <c r="KHZ49" s="159"/>
      <c r="KIA49" s="159"/>
      <c r="KIB49" s="159"/>
      <c r="KIC49" s="159"/>
      <c r="KID49" s="159"/>
      <c r="KIE49" s="159"/>
      <c r="KIF49" s="159"/>
      <c r="KIG49" s="159"/>
      <c r="KIH49" s="159"/>
      <c r="KII49" s="159"/>
      <c r="KIJ49" s="159"/>
      <c r="KIK49" s="159"/>
      <c r="KIL49" s="159"/>
      <c r="KIM49" s="159"/>
      <c r="KIN49" s="159"/>
      <c r="KIO49" s="159"/>
      <c r="KIP49" s="159"/>
      <c r="KIQ49" s="159"/>
      <c r="KIR49" s="159"/>
      <c r="KIS49" s="159"/>
      <c r="KIT49" s="159"/>
      <c r="KIU49" s="159"/>
      <c r="KIV49" s="159"/>
      <c r="KIW49" s="159"/>
      <c r="KIX49" s="159"/>
      <c r="KIY49" s="159"/>
      <c r="KIZ49" s="159"/>
      <c r="KJA49" s="159"/>
      <c r="KJB49" s="159"/>
      <c r="KJC49" s="159"/>
      <c r="KJD49" s="159"/>
      <c r="KJE49" s="159"/>
      <c r="KJF49" s="159"/>
      <c r="KJG49" s="159"/>
      <c r="KJH49" s="159"/>
      <c r="KJI49" s="159"/>
      <c r="KJJ49" s="159"/>
      <c r="KJK49" s="159"/>
      <c r="KJL49" s="159"/>
      <c r="KJM49" s="159"/>
      <c r="KJN49" s="159"/>
      <c r="KJO49" s="159"/>
      <c r="KJP49" s="159"/>
      <c r="KJQ49" s="159"/>
      <c r="KJR49" s="159"/>
      <c r="KJS49" s="159"/>
      <c r="KJT49" s="159"/>
      <c r="KJU49" s="159"/>
      <c r="KJV49" s="159"/>
      <c r="KJW49" s="159"/>
      <c r="KJX49" s="159"/>
      <c r="KJY49" s="159"/>
      <c r="KJZ49" s="159"/>
      <c r="KKA49" s="159"/>
      <c r="KKB49" s="159"/>
      <c r="KKC49" s="159"/>
      <c r="KKD49" s="159"/>
      <c r="KKE49" s="159"/>
      <c r="KKF49" s="159"/>
      <c r="KKG49" s="159"/>
      <c r="KKH49" s="159"/>
      <c r="KKI49" s="159"/>
      <c r="KKJ49" s="159"/>
      <c r="KKK49" s="159"/>
      <c r="KKL49" s="159"/>
      <c r="KKM49" s="159"/>
      <c r="KKN49" s="159"/>
      <c r="KKO49" s="159"/>
      <c r="KKP49" s="159"/>
      <c r="KKQ49" s="159"/>
      <c r="KKR49" s="159"/>
      <c r="KKS49" s="159"/>
      <c r="KKT49" s="159"/>
      <c r="KKU49" s="159"/>
      <c r="KKV49" s="159"/>
      <c r="KKW49" s="159"/>
      <c r="KKX49" s="159"/>
      <c r="KKY49" s="159"/>
      <c r="KKZ49" s="159"/>
      <c r="KLA49" s="159"/>
      <c r="KLB49" s="159"/>
      <c r="KLC49" s="159"/>
      <c r="KLD49" s="159"/>
      <c r="KLE49" s="159"/>
      <c r="KLF49" s="159"/>
      <c r="KLG49" s="159"/>
      <c r="KLH49" s="159"/>
      <c r="KLI49" s="159"/>
      <c r="KLJ49" s="159"/>
      <c r="KLK49" s="159"/>
      <c r="KLL49" s="159"/>
      <c r="KLM49" s="159"/>
      <c r="KLN49" s="159"/>
      <c r="KLO49" s="159"/>
      <c r="KLP49" s="159"/>
      <c r="KLQ49" s="159"/>
      <c r="KLR49" s="159"/>
      <c r="KLS49" s="159"/>
      <c r="KLT49" s="159"/>
      <c r="KLU49" s="159"/>
      <c r="KLV49" s="159"/>
      <c r="KLW49" s="159"/>
      <c r="KLX49" s="159"/>
      <c r="KLY49" s="159"/>
      <c r="KLZ49" s="159"/>
      <c r="KMA49" s="159"/>
      <c r="KMB49" s="159"/>
      <c r="KMC49" s="159"/>
      <c r="KMD49" s="159"/>
      <c r="KME49" s="159"/>
      <c r="KMF49" s="159"/>
      <c r="KMG49" s="159"/>
      <c r="KMH49" s="159"/>
      <c r="KMI49" s="159"/>
      <c r="KMJ49" s="159"/>
      <c r="KMK49" s="159"/>
      <c r="KML49" s="159"/>
      <c r="KMM49" s="159"/>
      <c r="KMN49" s="159"/>
      <c r="KMO49" s="159"/>
      <c r="KMP49" s="159"/>
      <c r="KMQ49" s="159"/>
      <c r="KMR49" s="159"/>
      <c r="KMS49" s="159"/>
      <c r="KMT49" s="159"/>
      <c r="KMU49" s="159"/>
      <c r="KMV49" s="159"/>
      <c r="KMW49" s="159"/>
      <c r="KMX49" s="159"/>
      <c r="KMY49" s="159"/>
      <c r="KMZ49" s="159"/>
      <c r="KNA49" s="159"/>
      <c r="KNB49" s="159"/>
      <c r="KNC49" s="159"/>
      <c r="KND49" s="159"/>
      <c r="KNE49" s="159"/>
      <c r="KNF49" s="159"/>
      <c r="KNG49" s="159"/>
      <c r="KNH49" s="159"/>
      <c r="KNI49" s="159"/>
      <c r="KNJ49" s="159"/>
      <c r="KNK49" s="159"/>
      <c r="KNL49" s="159"/>
      <c r="KNM49" s="159"/>
      <c r="KNN49" s="159"/>
      <c r="KNO49" s="159"/>
      <c r="KNP49" s="159"/>
      <c r="KNQ49" s="159"/>
      <c r="KNR49" s="159"/>
      <c r="KNS49" s="159"/>
      <c r="KNT49" s="159"/>
      <c r="KNU49" s="159"/>
      <c r="KNV49" s="159"/>
      <c r="KNW49" s="159"/>
      <c r="KNX49" s="159"/>
      <c r="KNY49" s="159"/>
      <c r="KNZ49" s="159"/>
      <c r="KOA49" s="159"/>
      <c r="KOB49" s="159"/>
      <c r="KOC49" s="159"/>
      <c r="KOD49" s="159"/>
      <c r="KOE49" s="159"/>
      <c r="KOF49" s="159"/>
      <c r="KOG49" s="159"/>
      <c r="KOH49" s="159"/>
      <c r="KOI49" s="159"/>
      <c r="KOJ49" s="159"/>
      <c r="KOK49" s="159"/>
      <c r="KOL49" s="159"/>
      <c r="KOM49" s="159"/>
      <c r="KON49" s="159"/>
      <c r="KOO49" s="159"/>
      <c r="KOP49" s="159"/>
      <c r="KOQ49" s="159"/>
      <c r="KOR49" s="159"/>
      <c r="KOS49" s="159"/>
      <c r="KOT49" s="159"/>
      <c r="KOU49" s="159"/>
      <c r="KOV49" s="159"/>
      <c r="KOW49" s="159"/>
      <c r="KOX49" s="159"/>
      <c r="KOY49" s="159"/>
      <c r="KOZ49" s="159"/>
      <c r="KPA49" s="159"/>
      <c r="KPB49" s="159"/>
      <c r="KPC49" s="159"/>
      <c r="KPD49" s="159"/>
      <c r="KPE49" s="159"/>
      <c r="KPF49" s="159"/>
      <c r="KPG49" s="159"/>
      <c r="KPH49" s="159"/>
      <c r="KPI49" s="159"/>
      <c r="KPJ49" s="159"/>
      <c r="KPK49" s="159"/>
      <c r="KPL49" s="159"/>
      <c r="KPM49" s="159"/>
      <c r="KPN49" s="159"/>
      <c r="KPO49" s="159"/>
      <c r="KPP49" s="159"/>
      <c r="KPQ49" s="159"/>
      <c r="KPR49" s="159"/>
      <c r="KPS49" s="159"/>
      <c r="KPT49" s="159"/>
      <c r="KPU49" s="159"/>
      <c r="KPV49" s="159"/>
      <c r="KPW49" s="159"/>
      <c r="KPX49" s="159"/>
      <c r="KPY49" s="159"/>
      <c r="KPZ49" s="159"/>
      <c r="KQA49" s="159"/>
      <c r="KQB49" s="159"/>
      <c r="KQC49" s="159"/>
      <c r="KQD49" s="159"/>
      <c r="KQE49" s="159"/>
      <c r="KQF49" s="159"/>
      <c r="KQG49" s="159"/>
      <c r="KQH49" s="159"/>
      <c r="KQI49" s="159"/>
      <c r="KQJ49" s="159"/>
      <c r="KQK49" s="159"/>
      <c r="KQL49" s="159"/>
      <c r="KQM49" s="159"/>
      <c r="KQN49" s="159"/>
      <c r="KQO49" s="159"/>
      <c r="KQP49" s="159"/>
      <c r="KQQ49" s="159"/>
      <c r="KQR49" s="159"/>
      <c r="KQS49" s="159"/>
      <c r="KQT49" s="159"/>
      <c r="KQU49" s="159"/>
      <c r="KQV49" s="159"/>
      <c r="KQW49" s="159"/>
      <c r="KQX49" s="159"/>
      <c r="KQY49" s="159"/>
      <c r="KQZ49" s="159"/>
      <c r="KRA49" s="159"/>
      <c r="KRB49" s="159"/>
      <c r="KRC49" s="159"/>
      <c r="KRD49" s="159"/>
      <c r="KRE49" s="159"/>
      <c r="KRF49" s="159"/>
      <c r="KRG49" s="159"/>
      <c r="KRH49" s="159"/>
      <c r="KRI49" s="159"/>
      <c r="KRJ49" s="159"/>
      <c r="KRK49" s="159"/>
      <c r="KRL49" s="159"/>
      <c r="KRM49" s="159"/>
      <c r="KRN49" s="159"/>
      <c r="KRO49" s="159"/>
      <c r="KRP49" s="159"/>
      <c r="KRQ49" s="159"/>
      <c r="KRR49" s="159"/>
      <c r="KRS49" s="159"/>
      <c r="KRT49" s="159"/>
      <c r="KRU49" s="159"/>
      <c r="KRV49" s="159"/>
      <c r="KRW49" s="159"/>
      <c r="KRX49" s="159"/>
      <c r="KRY49" s="159"/>
      <c r="KRZ49" s="159"/>
      <c r="KSA49" s="159"/>
      <c r="KSB49" s="159"/>
      <c r="KSC49" s="159"/>
      <c r="KSD49" s="159"/>
      <c r="KSE49" s="159"/>
      <c r="KSF49" s="159"/>
      <c r="KSG49" s="159"/>
      <c r="KSH49" s="159"/>
      <c r="KSI49" s="159"/>
      <c r="KSJ49" s="159"/>
      <c r="KSK49" s="159"/>
      <c r="KSL49" s="159"/>
      <c r="KSM49" s="159"/>
      <c r="KSN49" s="159"/>
      <c r="KSO49" s="159"/>
      <c r="KSP49" s="159"/>
      <c r="KSQ49" s="159"/>
      <c r="KSR49" s="159"/>
      <c r="KSS49" s="159"/>
      <c r="KST49" s="159"/>
      <c r="KSU49" s="159"/>
      <c r="KSV49" s="159"/>
      <c r="KSW49" s="159"/>
      <c r="KSX49" s="159"/>
      <c r="KSY49" s="159"/>
      <c r="KSZ49" s="159"/>
      <c r="KTA49" s="159"/>
      <c r="KTB49" s="159"/>
      <c r="KTC49" s="159"/>
      <c r="KTD49" s="159"/>
      <c r="KTE49" s="159"/>
      <c r="KTF49" s="159"/>
      <c r="KTG49" s="159"/>
      <c r="KTH49" s="159"/>
      <c r="KTI49" s="159"/>
      <c r="KTJ49" s="159"/>
      <c r="KTK49" s="159"/>
      <c r="KTL49" s="159"/>
      <c r="KTM49" s="159"/>
      <c r="KTN49" s="159"/>
      <c r="KTO49" s="159"/>
      <c r="KTP49" s="159"/>
      <c r="KTQ49" s="159"/>
      <c r="KTR49" s="159"/>
      <c r="KTS49" s="159"/>
      <c r="KTT49" s="159"/>
      <c r="KTU49" s="159"/>
      <c r="KTV49" s="159"/>
      <c r="KTW49" s="159"/>
      <c r="KTX49" s="159"/>
      <c r="KTY49" s="159"/>
      <c r="KTZ49" s="159"/>
      <c r="KUA49" s="159"/>
      <c r="KUB49" s="159"/>
      <c r="KUC49" s="159"/>
      <c r="KUD49" s="159"/>
      <c r="KUE49" s="159"/>
      <c r="KUF49" s="159"/>
      <c r="KUG49" s="159"/>
      <c r="KUH49" s="159"/>
      <c r="KUI49" s="159"/>
      <c r="KUJ49" s="159"/>
      <c r="KUK49" s="159"/>
      <c r="KUL49" s="159"/>
      <c r="KUM49" s="159"/>
      <c r="KUN49" s="159"/>
      <c r="KUO49" s="159"/>
      <c r="KUP49" s="159"/>
      <c r="KUQ49" s="159"/>
      <c r="KUR49" s="159"/>
      <c r="KUS49" s="159"/>
      <c r="KUT49" s="159"/>
      <c r="KUU49" s="159"/>
      <c r="KUV49" s="159"/>
      <c r="KUW49" s="159"/>
      <c r="KUX49" s="159"/>
      <c r="KUY49" s="159"/>
      <c r="KUZ49" s="159"/>
      <c r="KVA49" s="159"/>
      <c r="KVB49" s="159"/>
      <c r="KVC49" s="159"/>
      <c r="KVD49" s="159"/>
      <c r="KVE49" s="159"/>
      <c r="KVF49" s="159"/>
      <c r="KVG49" s="159"/>
      <c r="KVH49" s="159"/>
      <c r="KVI49" s="159"/>
      <c r="KVJ49" s="159"/>
      <c r="KVK49" s="159"/>
      <c r="KVL49" s="159"/>
      <c r="KVM49" s="159"/>
      <c r="KVN49" s="159"/>
      <c r="KVO49" s="159"/>
      <c r="KVP49" s="159"/>
      <c r="KVQ49" s="159"/>
      <c r="KVR49" s="159"/>
      <c r="KVS49" s="159"/>
      <c r="KVT49" s="159"/>
      <c r="KVU49" s="159"/>
      <c r="KVV49" s="159"/>
      <c r="KVW49" s="159"/>
      <c r="KVX49" s="159"/>
      <c r="KVY49" s="159"/>
      <c r="KVZ49" s="159"/>
      <c r="KWA49" s="159"/>
      <c r="KWB49" s="159"/>
      <c r="KWC49" s="159"/>
      <c r="KWD49" s="159"/>
      <c r="KWE49" s="159"/>
      <c r="KWF49" s="159"/>
      <c r="KWG49" s="159"/>
      <c r="KWH49" s="159"/>
      <c r="KWI49" s="159"/>
      <c r="KWJ49" s="159"/>
      <c r="KWK49" s="159"/>
      <c r="KWL49" s="159"/>
      <c r="KWM49" s="159"/>
      <c r="KWN49" s="159"/>
      <c r="KWO49" s="159"/>
      <c r="KWP49" s="159"/>
      <c r="KWQ49" s="159"/>
      <c r="KWR49" s="159"/>
      <c r="KWS49" s="159"/>
      <c r="KWT49" s="159"/>
      <c r="KWU49" s="159"/>
      <c r="KWV49" s="159"/>
      <c r="KWW49" s="159"/>
      <c r="KWX49" s="159"/>
      <c r="KWY49" s="159"/>
      <c r="KWZ49" s="159"/>
      <c r="KXA49" s="159"/>
      <c r="KXB49" s="159"/>
      <c r="KXC49" s="159"/>
      <c r="KXD49" s="159"/>
      <c r="KXE49" s="159"/>
      <c r="KXF49" s="159"/>
      <c r="KXG49" s="159"/>
      <c r="KXH49" s="159"/>
      <c r="KXI49" s="159"/>
      <c r="KXJ49" s="159"/>
      <c r="KXK49" s="159"/>
      <c r="KXL49" s="159"/>
      <c r="KXM49" s="159"/>
      <c r="KXN49" s="159"/>
      <c r="KXO49" s="159"/>
      <c r="KXP49" s="159"/>
      <c r="KXQ49" s="159"/>
      <c r="KXR49" s="159"/>
      <c r="KXS49" s="159"/>
      <c r="KXT49" s="159"/>
      <c r="KXU49" s="159"/>
      <c r="KXV49" s="159"/>
      <c r="KXW49" s="159"/>
      <c r="KXX49" s="159"/>
      <c r="KXY49" s="159"/>
      <c r="KXZ49" s="159"/>
      <c r="KYA49" s="159"/>
      <c r="KYB49" s="159"/>
      <c r="KYC49" s="159"/>
      <c r="KYD49" s="159"/>
      <c r="KYE49" s="159"/>
      <c r="KYF49" s="159"/>
      <c r="KYG49" s="159"/>
      <c r="KYH49" s="159"/>
      <c r="KYI49" s="159"/>
      <c r="KYJ49" s="159"/>
      <c r="KYK49" s="159"/>
      <c r="KYL49" s="159"/>
      <c r="KYM49" s="159"/>
      <c r="KYN49" s="159"/>
      <c r="KYO49" s="159"/>
      <c r="KYP49" s="159"/>
      <c r="KYQ49" s="159"/>
      <c r="KYR49" s="159"/>
      <c r="KYS49" s="159"/>
      <c r="KYT49" s="159"/>
      <c r="KYU49" s="159"/>
      <c r="KYV49" s="159"/>
      <c r="KYW49" s="159"/>
      <c r="KYX49" s="159"/>
      <c r="KYY49" s="159"/>
      <c r="KYZ49" s="159"/>
      <c r="KZA49" s="159"/>
      <c r="KZB49" s="159"/>
      <c r="KZC49" s="159"/>
      <c r="KZD49" s="159"/>
      <c r="KZE49" s="159"/>
      <c r="KZF49" s="159"/>
      <c r="KZG49" s="159"/>
      <c r="KZH49" s="159"/>
      <c r="KZI49" s="159"/>
      <c r="KZJ49" s="159"/>
      <c r="KZK49" s="159"/>
      <c r="KZL49" s="159"/>
      <c r="KZM49" s="159"/>
      <c r="KZN49" s="159"/>
      <c r="KZO49" s="159"/>
      <c r="KZP49" s="159"/>
      <c r="KZQ49" s="159"/>
      <c r="KZR49" s="159"/>
      <c r="KZS49" s="159"/>
      <c r="KZT49" s="159"/>
      <c r="KZU49" s="159"/>
      <c r="KZV49" s="159"/>
      <c r="KZW49" s="159"/>
      <c r="KZX49" s="159"/>
      <c r="KZY49" s="159"/>
      <c r="KZZ49" s="159"/>
      <c r="LAA49" s="159"/>
      <c r="LAB49" s="159"/>
      <c r="LAC49" s="159"/>
      <c r="LAD49" s="159"/>
      <c r="LAE49" s="159"/>
      <c r="LAF49" s="159"/>
      <c r="LAG49" s="159"/>
      <c r="LAH49" s="159"/>
      <c r="LAI49" s="159"/>
      <c r="LAJ49" s="159"/>
      <c r="LAK49" s="159"/>
      <c r="LAL49" s="159"/>
      <c r="LAM49" s="159"/>
      <c r="LAN49" s="159"/>
      <c r="LAO49" s="159"/>
      <c r="LAP49" s="159"/>
      <c r="LAQ49" s="159"/>
      <c r="LAR49" s="159"/>
      <c r="LAS49" s="159"/>
      <c r="LAT49" s="159"/>
      <c r="LAU49" s="159"/>
      <c r="LAV49" s="159"/>
      <c r="LAW49" s="159"/>
      <c r="LAX49" s="159"/>
      <c r="LAY49" s="159"/>
      <c r="LAZ49" s="159"/>
      <c r="LBA49" s="159"/>
      <c r="LBB49" s="159"/>
      <c r="LBC49" s="159"/>
      <c r="LBD49" s="159"/>
      <c r="LBE49" s="159"/>
      <c r="LBF49" s="159"/>
      <c r="LBG49" s="159"/>
      <c r="LBH49" s="159"/>
      <c r="LBI49" s="159"/>
      <c r="LBJ49" s="159"/>
      <c r="LBK49" s="159"/>
      <c r="LBL49" s="159"/>
      <c r="LBM49" s="159"/>
      <c r="LBN49" s="159"/>
      <c r="LBO49" s="159"/>
      <c r="LBP49" s="159"/>
      <c r="LBQ49" s="159"/>
      <c r="LBR49" s="159"/>
      <c r="LBS49" s="159"/>
      <c r="LBT49" s="159"/>
      <c r="LBU49" s="159"/>
      <c r="LBV49" s="159"/>
      <c r="LBW49" s="159"/>
      <c r="LBX49" s="159"/>
      <c r="LBY49" s="159"/>
      <c r="LBZ49" s="159"/>
      <c r="LCA49" s="159"/>
      <c r="LCB49" s="159"/>
      <c r="LCC49" s="159"/>
      <c r="LCD49" s="159"/>
      <c r="LCE49" s="159"/>
      <c r="LCF49" s="159"/>
      <c r="LCG49" s="159"/>
      <c r="LCH49" s="159"/>
      <c r="LCI49" s="159"/>
      <c r="LCJ49" s="159"/>
      <c r="LCK49" s="159"/>
      <c r="LCL49" s="159"/>
      <c r="LCM49" s="159"/>
      <c r="LCN49" s="159"/>
      <c r="LCO49" s="159"/>
      <c r="LCP49" s="159"/>
      <c r="LCQ49" s="159"/>
      <c r="LCR49" s="159"/>
      <c r="LCS49" s="159"/>
      <c r="LCT49" s="159"/>
      <c r="LCU49" s="159"/>
      <c r="LCV49" s="159"/>
      <c r="LCW49" s="159"/>
      <c r="LCX49" s="159"/>
      <c r="LCY49" s="159"/>
      <c r="LCZ49" s="159"/>
      <c r="LDA49" s="159"/>
      <c r="LDB49" s="159"/>
      <c r="LDC49" s="159"/>
      <c r="LDD49" s="159"/>
      <c r="LDE49" s="159"/>
      <c r="LDF49" s="159"/>
      <c r="LDG49" s="159"/>
      <c r="LDH49" s="159"/>
      <c r="LDI49" s="159"/>
      <c r="LDJ49" s="159"/>
      <c r="LDK49" s="159"/>
      <c r="LDL49" s="159"/>
      <c r="LDM49" s="159"/>
      <c r="LDN49" s="159"/>
      <c r="LDO49" s="159"/>
      <c r="LDP49" s="159"/>
      <c r="LDQ49" s="159"/>
      <c r="LDR49" s="159"/>
      <c r="LDS49" s="159"/>
      <c r="LDT49" s="159"/>
      <c r="LDU49" s="159"/>
      <c r="LDV49" s="159"/>
      <c r="LDW49" s="159"/>
      <c r="LDX49" s="159"/>
      <c r="LDY49" s="159"/>
      <c r="LDZ49" s="159"/>
      <c r="LEA49" s="159"/>
      <c r="LEB49" s="159"/>
      <c r="LEC49" s="159"/>
      <c r="LED49" s="159"/>
      <c r="LEE49" s="159"/>
      <c r="LEF49" s="159"/>
      <c r="LEG49" s="159"/>
      <c r="LEH49" s="159"/>
      <c r="LEI49" s="159"/>
      <c r="LEJ49" s="159"/>
      <c r="LEK49" s="159"/>
      <c r="LEL49" s="159"/>
      <c r="LEM49" s="159"/>
      <c r="LEN49" s="159"/>
      <c r="LEO49" s="159"/>
      <c r="LEP49" s="159"/>
      <c r="LEQ49" s="159"/>
      <c r="LER49" s="159"/>
      <c r="LES49" s="159"/>
      <c r="LET49" s="159"/>
      <c r="LEU49" s="159"/>
      <c r="LEV49" s="159"/>
      <c r="LEW49" s="159"/>
      <c r="LEX49" s="159"/>
      <c r="LEY49" s="159"/>
      <c r="LEZ49" s="159"/>
      <c r="LFA49" s="159"/>
      <c r="LFB49" s="159"/>
      <c r="LFC49" s="159"/>
      <c r="LFD49" s="159"/>
      <c r="LFE49" s="159"/>
      <c r="LFF49" s="159"/>
      <c r="LFG49" s="159"/>
      <c r="LFH49" s="159"/>
      <c r="LFI49" s="159"/>
      <c r="LFJ49" s="159"/>
      <c r="LFK49" s="159"/>
      <c r="LFL49" s="159"/>
      <c r="LFM49" s="159"/>
      <c r="LFN49" s="159"/>
      <c r="LFO49" s="159"/>
      <c r="LFP49" s="159"/>
      <c r="LFQ49" s="159"/>
      <c r="LFR49" s="159"/>
      <c r="LFS49" s="159"/>
      <c r="LFT49" s="159"/>
      <c r="LFU49" s="159"/>
      <c r="LFV49" s="159"/>
      <c r="LFW49" s="159"/>
      <c r="LFX49" s="159"/>
      <c r="LFY49" s="159"/>
      <c r="LFZ49" s="159"/>
      <c r="LGA49" s="159"/>
      <c r="LGB49" s="159"/>
      <c r="LGC49" s="159"/>
      <c r="LGD49" s="159"/>
      <c r="LGE49" s="159"/>
      <c r="LGF49" s="159"/>
      <c r="LGG49" s="159"/>
      <c r="LGH49" s="159"/>
      <c r="LGI49" s="159"/>
      <c r="LGJ49" s="159"/>
      <c r="LGK49" s="159"/>
      <c r="LGL49" s="159"/>
      <c r="LGM49" s="159"/>
      <c r="LGN49" s="159"/>
      <c r="LGO49" s="159"/>
      <c r="LGP49" s="159"/>
      <c r="LGQ49" s="159"/>
      <c r="LGR49" s="159"/>
      <c r="LGS49" s="159"/>
      <c r="LGT49" s="159"/>
      <c r="LGU49" s="159"/>
      <c r="LGV49" s="159"/>
      <c r="LGW49" s="159"/>
      <c r="LGX49" s="159"/>
      <c r="LGY49" s="159"/>
      <c r="LGZ49" s="159"/>
      <c r="LHA49" s="159"/>
      <c r="LHB49" s="159"/>
      <c r="LHC49" s="159"/>
      <c r="LHD49" s="159"/>
      <c r="LHE49" s="159"/>
      <c r="LHF49" s="159"/>
      <c r="LHG49" s="159"/>
      <c r="LHH49" s="159"/>
      <c r="LHI49" s="159"/>
      <c r="LHJ49" s="159"/>
      <c r="LHK49" s="159"/>
      <c r="LHL49" s="159"/>
      <c r="LHM49" s="159"/>
      <c r="LHN49" s="159"/>
      <c r="LHO49" s="159"/>
      <c r="LHP49" s="159"/>
      <c r="LHQ49" s="159"/>
      <c r="LHR49" s="159"/>
      <c r="LHS49" s="159"/>
      <c r="LHT49" s="159"/>
      <c r="LHU49" s="159"/>
      <c r="LHV49" s="159"/>
      <c r="LHW49" s="159"/>
      <c r="LHX49" s="159"/>
      <c r="LHY49" s="159"/>
      <c r="LHZ49" s="159"/>
      <c r="LIA49" s="159"/>
      <c r="LIB49" s="159"/>
      <c r="LIC49" s="159"/>
      <c r="LID49" s="159"/>
      <c r="LIE49" s="159"/>
      <c r="LIF49" s="159"/>
      <c r="LIG49" s="159"/>
      <c r="LIH49" s="159"/>
      <c r="LII49" s="159"/>
      <c r="LIJ49" s="159"/>
      <c r="LIK49" s="159"/>
      <c r="LIL49" s="159"/>
      <c r="LIM49" s="159"/>
      <c r="LIN49" s="159"/>
      <c r="LIO49" s="159"/>
      <c r="LIP49" s="159"/>
      <c r="LIQ49" s="159"/>
      <c r="LIR49" s="159"/>
      <c r="LIS49" s="159"/>
      <c r="LIT49" s="159"/>
      <c r="LIU49" s="159"/>
      <c r="LIV49" s="159"/>
      <c r="LIW49" s="159"/>
      <c r="LIX49" s="159"/>
      <c r="LIY49" s="159"/>
      <c r="LIZ49" s="159"/>
      <c r="LJA49" s="159"/>
      <c r="LJB49" s="159"/>
      <c r="LJC49" s="159"/>
      <c r="LJD49" s="159"/>
      <c r="LJE49" s="159"/>
      <c r="LJF49" s="159"/>
      <c r="LJG49" s="159"/>
      <c r="LJH49" s="159"/>
      <c r="LJI49" s="159"/>
      <c r="LJJ49" s="159"/>
      <c r="LJK49" s="159"/>
      <c r="LJL49" s="159"/>
      <c r="LJM49" s="159"/>
      <c r="LJN49" s="159"/>
      <c r="LJO49" s="159"/>
      <c r="LJP49" s="159"/>
      <c r="LJQ49" s="159"/>
      <c r="LJR49" s="159"/>
      <c r="LJS49" s="159"/>
      <c r="LJT49" s="159"/>
      <c r="LJU49" s="159"/>
      <c r="LJV49" s="159"/>
      <c r="LJW49" s="159"/>
      <c r="LJX49" s="159"/>
      <c r="LJY49" s="159"/>
      <c r="LJZ49" s="159"/>
      <c r="LKA49" s="159"/>
      <c r="LKB49" s="159"/>
      <c r="LKC49" s="159"/>
      <c r="LKD49" s="159"/>
      <c r="LKE49" s="159"/>
      <c r="LKF49" s="159"/>
      <c r="LKG49" s="159"/>
      <c r="LKH49" s="159"/>
      <c r="LKI49" s="159"/>
      <c r="LKJ49" s="159"/>
      <c r="LKK49" s="159"/>
      <c r="LKL49" s="159"/>
      <c r="LKM49" s="159"/>
      <c r="LKN49" s="159"/>
      <c r="LKO49" s="159"/>
      <c r="LKP49" s="159"/>
      <c r="LKQ49" s="159"/>
      <c r="LKR49" s="159"/>
      <c r="LKS49" s="159"/>
      <c r="LKT49" s="159"/>
      <c r="LKU49" s="159"/>
      <c r="LKV49" s="159"/>
      <c r="LKW49" s="159"/>
      <c r="LKX49" s="159"/>
      <c r="LKY49" s="159"/>
      <c r="LKZ49" s="159"/>
      <c r="LLA49" s="159"/>
      <c r="LLB49" s="159"/>
      <c r="LLC49" s="159"/>
      <c r="LLD49" s="159"/>
      <c r="LLE49" s="159"/>
      <c r="LLF49" s="159"/>
      <c r="LLG49" s="159"/>
      <c r="LLH49" s="159"/>
      <c r="LLI49" s="159"/>
      <c r="LLJ49" s="159"/>
      <c r="LLK49" s="159"/>
      <c r="LLL49" s="159"/>
      <c r="LLM49" s="159"/>
      <c r="LLN49" s="159"/>
      <c r="LLO49" s="159"/>
      <c r="LLP49" s="159"/>
      <c r="LLQ49" s="159"/>
      <c r="LLR49" s="159"/>
      <c r="LLS49" s="159"/>
      <c r="LLT49" s="159"/>
      <c r="LLU49" s="159"/>
      <c r="LLV49" s="159"/>
      <c r="LLW49" s="159"/>
      <c r="LLX49" s="159"/>
      <c r="LLY49" s="159"/>
      <c r="LLZ49" s="159"/>
      <c r="LMA49" s="159"/>
      <c r="LMB49" s="159"/>
      <c r="LMC49" s="159"/>
      <c r="LMD49" s="159"/>
      <c r="LME49" s="159"/>
      <c r="LMF49" s="159"/>
      <c r="LMG49" s="159"/>
      <c r="LMH49" s="159"/>
      <c r="LMI49" s="159"/>
      <c r="LMJ49" s="159"/>
      <c r="LMK49" s="159"/>
      <c r="LML49" s="159"/>
      <c r="LMM49" s="159"/>
      <c r="LMN49" s="159"/>
      <c r="LMO49" s="159"/>
      <c r="LMP49" s="159"/>
      <c r="LMQ49" s="159"/>
      <c r="LMR49" s="159"/>
      <c r="LMS49" s="159"/>
      <c r="LMT49" s="159"/>
      <c r="LMU49" s="159"/>
      <c r="LMV49" s="159"/>
      <c r="LMW49" s="159"/>
      <c r="LMX49" s="159"/>
      <c r="LMY49" s="159"/>
      <c r="LMZ49" s="159"/>
      <c r="LNA49" s="159"/>
      <c r="LNB49" s="159"/>
      <c r="LNC49" s="159"/>
      <c r="LND49" s="159"/>
      <c r="LNE49" s="159"/>
      <c r="LNF49" s="159"/>
      <c r="LNG49" s="159"/>
      <c r="LNH49" s="159"/>
      <c r="LNI49" s="159"/>
      <c r="LNJ49" s="159"/>
      <c r="LNK49" s="159"/>
      <c r="LNL49" s="159"/>
      <c r="LNM49" s="159"/>
      <c r="LNN49" s="159"/>
      <c r="LNO49" s="159"/>
      <c r="LNP49" s="159"/>
      <c r="LNQ49" s="159"/>
      <c r="LNR49" s="159"/>
      <c r="LNS49" s="159"/>
      <c r="LNT49" s="159"/>
      <c r="LNU49" s="159"/>
      <c r="LNV49" s="159"/>
      <c r="LNW49" s="159"/>
      <c r="LNX49" s="159"/>
      <c r="LNY49" s="159"/>
      <c r="LNZ49" s="159"/>
      <c r="LOA49" s="159"/>
      <c r="LOB49" s="159"/>
      <c r="LOC49" s="159"/>
      <c r="LOD49" s="159"/>
      <c r="LOE49" s="159"/>
      <c r="LOF49" s="159"/>
      <c r="LOG49" s="159"/>
      <c r="LOH49" s="159"/>
      <c r="LOI49" s="159"/>
      <c r="LOJ49" s="159"/>
      <c r="LOK49" s="159"/>
      <c r="LOL49" s="159"/>
      <c r="LOM49" s="159"/>
      <c r="LON49" s="159"/>
      <c r="LOO49" s="159"/>
      <c r="LOP49" s="159"/>
      <c r="LOQ49" s="159"/>
      <c r="LOR49" s="159"/>
      <c r="LOS49" s="159"/>
      <c r="LOT49" s="159"/>
      <c r="LOU49" s="159"/>
      <c r="LOV49" s="159"/>
      <c r="LOW49" s="159"/>
      <c r="LOX49" s="159"/>
      <c r="LOY49" s="159"/>
      <c r="LOZ49" s="159"/>
      <c r="LPA49" s="159"/>
      <c r="LPB49" s="159"/>
      <c r="LPC49" s="159"/>
      <c r="LPD49" s="159"/>
      <c r="LPE49" s="159"/>
      <c r="LPF49" s="159"/>
      <c r="LPG49" s="159"/>
      <c r="LPH49" s="159"/>
      <c r="LPI49" s="159"/>
      <c r="LPJ49" s="159"/>
      <c r="LPK49" s="159"/>
      <c r="LPL49" s="159"/>
      <c r="LPM49" s="159"/>
      <c r="LPN49" s="159"/>
      <c r="LPO49" s="159"/>
      <c r="LPP49" s="159"/>
      <c r="LPQ49" s="159"/>
      <c r="LPR49" s="159"/>
      <c r="LPS49" s="159"/>
      <c r="LPT49" s="159"/>
      <c r="LPU49" s="159"/>
      <c r="LPV49" s="159"/>
      <c r="LPW49" s="159"/>
      <c r="LPX49" s="159"/>
      <c r="LPY49" s="159"/>
      <c r="LPZ49" s="159"/>
      <c r="LQA49" s="159"/>
      <c r="LQB49" s="159"/>
      <c r="LQC49" s="159"/>
      <c r="LQD49" s="159"/>
      <c r="LQE49" s="159"/>
      <c r="LQF49" s="159"/>
      <c r="LQG49" s="159"/>
      <c r="LQH49" s="159"/>
      <c r="LQI49" s="159"/>
      <c r="LQJ49" s="159"/>
      <c r="LQK49" s="159"/>
      <c r="LQL49" s="159"/>
      <c r="LQM49" s="159"/>
      <c r="LQN49" s="159"/>
      <c r="LQO49" s="159"/>
      <c r="LQP49" s="159"/>
      <c r="LQQ49" s="159"/>
      <c r="LQR49" s="159"/>
      <c r="LQS49" s="159"/>
      <c r="LQT49" s="159"/>
      <c r="LQU49" s="159"/>
      <c r="LQV49" s="159"/>
      <c r="LQW49" s="159"/>
      <c r="LQX49" s="159"/>
      <c r="LQY49" s="159"/>
      <c r="LQZ49" s="159"/>
      <c r="LRA49" s="159"/>
      <c r="LRB49" s="159"/>
      <c r="LRC49" s="159"/>
      <c r="LRD49" s="159"/>
      <c r="LRE49" s="159"/>
      <c r="LRF49" s="159"/>
      <c r="LRG49" s="159"/>
      <c r="LRH49" s="159"/>
      <c r="LRI49" s="159"/>
      <c r="LRJ49" s="159"/>
      <c r="LRK49" s="159"/>
      <c r="LRL49" s="159"/>
      <c r="LRM49" s="159"/>
      <c r="LRN49" s="159"/>
      <c r="LRO49" s="159"/>
      <c r="LRP49" s="159"/>
      <c r="LRQ49" s="159"/>
      <c r="LRR49" s="159"/>
      <c r="LRS49" s="159"/>
      <c r="LRT49" s="159"/>
      <c r="LRU49" s="159"/>
      <c r="LRV49" s="159"/>
      <c r="LRW49" s="159"/>
      <c r="LRX49" s="159"/>
      <c r="LRY49" s="159"/>
      <c r="LRZ49" s="159"/>
      <c r="LSA49" s="159"/>
      <c r="LSB49" s="159"/>
      <c r="LSC49" s="159"/>
      <c r="LSD49" s="159"/>
      <c r="LSE49" s="159"/>
      <c r="LSF49" s="159"/>
      <c r="LSG49" s="159"/>
      <c r="LSH49" s="159"/>
      <c r="LSI49" s="159"/>
      <c r="LSJ49" s="159"/>
      <c r="LSK49" s="159"/>
      <c r="LSL49" s="159"/>
      <c r="LSM49" s="159"/>
      <c r="LSN49" s="159"/>
      <c r="LSO49" s="159"/>
      <c r="LSP49" s="159"/>
      <c r="LSQ49" s="159"/>
      <c r="LSR49" s="159"/>
      <c r="LSS49" s="159"/>
      <c r="LST49" s="159"/>
      <c r="LSU49" s="159"/>
      <c r="LSV49" s="159"/>
      <c r="LSW49" s="159"/>
      <c r="LSX49" s="159"/>
      <c r="LSY49" s="159"/>
      <c r="LSZ49" s="159"/>
      <c r="LTA49" s="159"/>
      <c r="LTB49" s="159"/>
      <c r="LTC49" s="159"/>
      <c r="LTD49" s="159"/>
      <c r="LTE49" s="159"/>
      <c r="LTF49" s="159"/>
      <c r="LTG49" s="159"/>
      <c r="LTH49" s="159"/>
      <c r="LTI49" s="159"/>
      <c r="LTJ49" s="159"/>
      <c r="LTK49" s="159"/>
      <c r="LTL49" s="159"/>
      <c r="LTM49" s="159"/>
      <c r="LTN49" s="159"/>
      <c r="LTO49" s="159"/>
      <c r="LTP49" s="159"/>
      <c r="LTQ49" s="159"/>
      <c r="LTR49" s="159"/>
      <c r="LTS49" s="159"/>
      <c r="LTT49" s="159"/>
      <c r="LTU49" s="159"/>
      <c r="LTV49" s="159"/>
      <c r="LTW49" s="159"/>
      <c r="LTX49" s="159"/>
      <c r="LTY49" s="159"/>
      <c r="LTZ49" s="159"/>
      <c r="LUA49" s="159"/>
      <c r="LUB49" s="159"/>
      <c r="LUC49" s="159"/>
      <c r="LUD49" s="159"/>
      <c r="LUE49" s="159"/>
      <c r="LUF49" s="159"/>
      <c r="LUG49" s="159"/>
      <c r="LUH49" s="159"/>
      <c r="LUI49" s="159"/>
      <c r="LUJ49" s="159"/>
      <c r="LUK49" s="159"/>
      <c r="LUL49" s="159"/>
      <c r="LUM49" s="159"/>
      <c r="LUN49" s="159"/>
      <c r="LUO49" s="159"/>
      <c r="LUP49" s="159"/>
      <c r="LUQ49" s="159"/>
      <c r="LUR49" s="159"/>
      <c r="LUS49" s="159"/>
      <c r="LUT49" s="159"/>
      <c r="LUU49" s="159"/>
      <c r="LUV49" s="159"/>
      <c r="LUW49" s="159"/>
      <c r="LUX49" s="159"/>
      <c r="LUY49" s="159"/>
      <c r="LUZ49" s="159"/>
      <c r="LVA49" s="159"/>
      <c r="LVB49" s="159"/>
      <c r="LVC49" s="159"/>
      <c r="LVD49" s="159"/>
      <c r="LVE49" s="159"/>
      <c r="LVF49" s="159"/>
      <c r="LVG49" s="159"/>
      <c r="LVH49" s="159"/>
      <c r="LVI49" s="159"/>
      <c r="LVJ49" s="159"/>
      <c r="LVK49" s="159"/>
      <c r="LVL49" s="159"/>
      <c r="LVM49" s="159"/>
      <c r="LVN49" s="159"/>
      <c r="LVO49" s="159"/>
      <c r="LVP49" s="159"/>
      <c r="LVQ49" s="159"/>
      <c r="LVR49" s="159"/>
      <c r="LVS49" s="159"/>
      <c r="LVT49" s="159"/>
      <c r="LVU49" s="159"/>
      <c r="LVV49" s="159"/>
      <c r="LVW49" s="159"/>
      <c r="LVX49" s="159"/>
      <c r="LVY49" s="159"/>
      <c r="LVZ49" s="159"/>
      <c r="LWA49" s="159"/>
      <c r="LWB49" s="159"/>
      <c r="LWC49" s="159"/>
      <c r="LWD49" s="159"/>
      <c r="LWE49" s="159"/>
      <c r="LWF49" s="159"/>
      <c r="LWG49" s="159"/>
      <c r="LWH49" s="159"/>
      <c r="LWI49" s="159"/>
      <c r="LWJ49" s="159"/>
      <c r="LWK49" s="159"/>
      <c r="LWL49" s="159"/>
      <c r="LWM49" s="159"/>
      <c r="LWN49" s="159"/>
      <c r="LWO49" s="159"/>
      <c r="LWP49" s="159"/>
      <c r="LWQ49" s="159"/>
      <c r="LWR49" s="159"/>
      <c r="LWS49" s="159"/>
      <c r="LWT49" s="159"/>
      <c r="LWU49" s="159"/>
      <c r="LWV49" s="159"/>
      <c r="LWW49" s="159"/>
      <c r="LWX49" s="159"/>
      <c r="LWY49" s="159"/>
      <c r="LWZ49" s="159"/>
      <c r="LXA49" s="159"/>
      <c r="LXB49" s="159"/>
      <c r="LXC49" s="159"/>
      <c r="LXD49" s="159"/>
      <c r="LXE49" s="159"/>
      <c r="LXF49" s="159"/>
      <c r="LXG49" s="159"/>
      <c r="LXH49" s="159"/>
      <c r="LXI49" s="159"/>
      <c r="LXJ49" s="159"/>
      <c r="LXK49" s="159"/>
      <c r="LXL49" s="159"/>
      <c r="LXM49" s="159"/>
      <c r="LXN49" s="159"/>
      <c r="LXO49" s="159"/>
      <c r="LXP49" s="159"/>
      <c r="LXQ49" s="159"/>
      <c r="LXR49" s="159"/>
      <c r="LXS49" s="159"/>
      <c r="LXT49" s="159"/>
      <c r="LXU49" s="159"/>
      <c r="LXV49" s="159"/>
      <c r="LXW49" s="159"/>
      <c r="LXX49" s="159"/>
      <c r="LXY49" s="159"/>
      <c r="LXZ49" s="159"/>
      <c r="LYA49" s="159"/>
      <c r="LYB49" s="159"/>
      <c r="LYC49" s="159"/>
      <c r="LYD49" s="159"/>
      <c r="LYE49" s="159"/>
      <c r="LYF49" s="159"/>
      <c r="LYG49" s="159"/>
      <c r="LYH49" s="159"/>
      <c r="LYI49" s="159"/>
      <c r="LYJ49" s="159"/>
      <c r="LYK49" s="159"/>
      <c r="LYL49" s="159"/>
      <c r="LYM49" s="159"/>
      <c r="LYN49" s="159"/>
      <c r="LYO49" s="159"/>
      <c r="LYP49" s="159"/>
      <c r="LYQ49" s="159"/>
      <c r="LYR49" s="159"/>
      <c r="LYS49" s="159"/>
      <c r="LYT49" s="159"/>
      <c r="LYU49" s="159"/>
      <c r="LYV49" s="159"/>
      <c r="LYW49" s="159"/>
      <c r="LYX49" s="159"/>
      <c r="LYY49" s="159"/>
      <c r="LYZ49" s="159"/>
      <c r="LZA49" s="159"/>
      <c r="LZB49" s="159"/>
      <c r="LZC49" s="159"/>
      <c r="LZD49" s="159"/>
      <c r="LZE49" s="159"/>
      <c r="LZF49" s="159"/>
      <c r="LZG49" s="159"/>
      <c r="LZH49" s="159"/>
      <c r="LZI49" s="159"/>
      <c r="LZJ49" s="159"/>
      <c r="LZK49" s="159"/>
      <c r="LZL49" s="159"/>
      <c r="LZM49" s="159"/>
      <c r="LZN49" s="159"/>
      <c r="LZO49" s="159"/>
      <c r="LZP49" s="159"/>
      <c r="LZQ49" s="159"/>
      <c r="LZR49" s="159"/>
      <c r="LZS49" s="159"/>
      <c r="LZT49" s="159"/>
      <c r="LZU49" s="159"/>
      <c r="LZV49" s="159"/>
      <c r="LZW49" s="159"/>
      <c r="LZX49" s="159"/>
      <c r="LZY49" s="159"/>
      <c r="LZZ49" s="159"/>
      <c r="MAA49" s="159"/>
      <c r="MAB49" s="159"/>
      <c r="MAC49" s="159"/>
      <c r="MAD49" s="159"/>
      <c r="MAE49" s="159"/>
      <c r="MAF49" s="159"/>
      <c r="MAG49" s="159"/>
      <c r="MAH49" s="159"/>
      <c r="MAI49" s="159"/>
      <c r="MAJ49" s="159"/>
      <c r="MAK49" s="159"/>
      <c r="MAL49" s="159"/>
      <c r="MAM49" s="159"/>
      <c r="MAN49" s="159"/>
      <c r="MAO49" s="159"/>
      <c r="MAP49" s="159"/>
      <c r="MAQ49" s="159"/>
      <c r="MAR49" s="159"/>
      <c r="MAS49" s="159"/>
      <c r="MAT49" s="159"/>
      <c r="MAU49" s="159"/>
      <c r="MAV49" s="159"/>
      <c r="MAW49" s="159"/>
      <c r="MAX49" s="159"/>
      <c r="MAY49" s="159"/>
      <c r="MAZ49" s="159"/>
      <c r="MBA49" s="159"/>
      <c r="MBB49" s="159"/>
      <c r="MBC49" s="159"/>
      <c r="MBD49" s="159"/>
      <c r="MBE49" s="159"/>
      <c r="MBF49" s="159"/>
      <c r="MBG49" s="159"/>
      <c r="MBH49" s="159"/>
      <c r="MBI49" s="159"/>
      <c r="MBJ49" s="159"/>
      <c r="MBK49" s="159"/>
      <c r="MBL49" s="159"/>
      <c r="MBM49" s="159"/>
      <c r="MBN49" s="159"/>
      <c r="MBO49" s="159"/>
      <c r="MBP49" s="159"/>
      <c r="MBQ49" s="159"/>
      <c r="MBR49" s="159"/>
      <c r="MBS49" s="159"/>
      <c r="MBT49" s="159"/>
      <c r="MBU49" s="159"/>
      <c r="MBV49" s="159"/>
      <c r="MBW49" s="159"/>
      <c r="MBX49" s="159"/>
      <c r="MBY49" s="159"/>
      <c r="MBZ49" s="159"/>
      <c r="MCA49" s="159"/>
      <c r="MCB49" s="159"/>
      <c r="MCC49" s="159"/>
      <c r="MCD49" s="159"/>
      <c r="MCE49" s="159"/>
      <c r="MCF49" s="159"/>
      <c r="MCG49" s="159"/>
      <c r="MCH49" s="159"/>
      <c r="MCI49" s="159"/>
      <c r="MCJ49" s="159"/>
      <c r="MCK49" s="159"/>
      <c r="MCL49" s="159"/>
      <c r="MCM49" s="159"/>
      <c r="MCN49" s="159"/>
      <c r="MCO49" s="159"/>
      <c r="MCP49" s="159"/>
      <c r="MCQ49" s="159"/>
      <c r="MCR49" s="159"/>
      <c r="MCS49" s="159"/>
      <c r="MCT49" s="159"/>
      <c r="MCU49" s="159"/>
      <c r="MCV49" s="159"/>
      <c r="MCW49" s="159"/>
      <c r="MCX49" s="159"/>
      <c r="MCY49" s="159"/>
      <c r="MCZ49" s="159"/>
      <c r="MDA49" s="159"/>
      <c r="MDB49" s="159"/>
      <c r="MDC49" s="159"/>
      <c r="MDD49" s="159"/>
      <c r="MDE49" s="159"/>
      <c r="MDF49" s="159"/>
      <c r="MDG49" s="159"/>
      <c r="MDH49" s="159"/>
      <c r="MDI49" s="159"/>
      <c r="MDJ49" s="159"/>
      <c r="MDK49" s="159"/>
      <c r="MDL49" s="159"/>
      <c r="MDM49" s="159"/>
      <c r="MDN49" s="159"/>
      <c r="MDO49" s="159"/>
      <c r="MDP49" s="159"/>
      <c r="MDQ49" s="159"/>
      <c r="MDR49" s="159"/>
      <c r="MDS49" s="159"/>
      <c r="MDT49" s="159"/>
      <c r="MDU49" s="159"/>
      <c r="MDV49" s="159"/>
      <c r="MDW49" s="159"/>
      <c r="MDX49" s="159"/>
      <c r="MDY49" s="159"/>
      <c r="MDZ49" s="159"/>
      <c r="MEA49" s="159"/>
      <c r="MEB49" s="159"/>
      <c r="MEC49" s="159"/>
      <c r="MED49" s="159"/>
      <c r="MEE49" s="159"/>
      <c r="MEF49" s="159"/>
      <c r="MEG49" s="159"/>
      <c r="MEH49" s="159"/>
      <c r="MEI49" s="159"/>
      <c r="MEJ49" s="159"/>
      <c r="MEK49" s="159"/>
      <c r="MEL49" s="159"/>
      <c r="MEM49" s="159"/>
      <c r="MEN49" s="159"/>
      <c r="MEO49" s="159"/>
      <c r="MEP49" s="159"/>
      <c r="MEQ49" s="159"/>
      <c r="MER49" s="159"/>
      <c r="MES49" s="159"/>
      <c r="MET49" s="159"/>
      <c r="MEU49" s="159"/>
      <c r="MEV49" s="159"/>
      <c r="MEW49" s="159"/>
      <c r="MEX49" s="159"/>
      <c r="MEY49" s="159"/>
      <c r="MEZ49" s="159"/>
      <c r="MFA49" s="159"/>
      <c r="MFB49" s="159"/>
      <c r="MFC49" s="159"/>
      <c r="MFD49" s="159"/>
      <c r="MFE49" s="159"/>
      <c r="MFF49" s="159"/>
      <c r="MFG49" s="159"/>
      <c r="MFH49" s="159"/>
      <c r="MFI49" s="159"/>
      <c r="MFJ49" s="159"/>
      <c r="MFK49" s="159"/>
      <c r="MFL49" s="159"/>
      <c r="MFM49" s="159"/>
      <c r="MFN49" s="159"/>
      <c r="MFO49" s="159"/>
      <c r="MFP49" s="159"/>
      <c r="MFQ49" s="159"/>
      <c r="MFR49" s="159"/>
      <c r="MFS49" s="159"/>
      <c r="MFT49" s="159"/>
      <c r="MFU49" s="159"/>
      <c r="MFV49" s="159"/>
      <c r="MFW49" s="159"/>
      <c r="MFX49" s="159"/>
      <c r="MFY49" s="159"/>
      <c r="MFZ49" s="159"/>
      <c r="MGA49" s="159"/>
      <c r="MGB49" s="159"/>
      <c r="MGC49" s="159"/>
      <c r="MGD49" s="159"/>
      <c r="MGE49" s="159"/>
      <c r="MGF49" s="159"/>
      <c r="MGG49" s="159"/>
      <c r="MGH49" s="159"/>
      <c r="MGI49" s="159"/>
      <c r="MGJ49" s="159"/>
      <c r="MGK49" s="159"/>
      <c r="MGL49" s="159"/>
      <c r="MGM49" s="159"/>
      <c r="MGN49" s="159"/>
      <c r="MGO49" s="159"/>
      <c r="MGP49" s="159"/>
      <c r="MGQ49" s="159"/>
      <c r="MGR49" s="159"/>
      <c r="MGS49" s="159"/>
      <c r="MGT49" s="159"/>
      <c r="MGU49" s="159"/>
      <c r="MGV49" s="159"/>
      <c r="MGW49" s="159"/>
      <c r="MGX49" s="159"/>
      <c r="MGY49" s="159"/>
      <c r="MGZ49" s="159"/>
      <c r="MHA49" s="159"/>
      <c r="MHB49" s="159"/>
      <c r="MHC49" s="159"/>
      <c r="MHD49" s="159"/>
      <c r="MHE49" s="159"/>
      <c r="MHF49" s="159"/>
      <c r="MHG49" s="159"/>
      <c r="MHH49" s="159"/>
      <c r="MHI49" s="159"/>
      <c r="MHJ49" s="159"/>
      <c r="MHK49" s="159"/>
      <c r="MHL49" s="159"/>
      <c r="MHM49" s="159"/>
      <c r="MHN49" s="159"/>
      <c r="MHO49" s="159"/>
      <c r="MHP49" s="159"/>
      <c r="MHQ49" s="159"/>
      <c r="MHR49" s="159"/>
      <c r="MHS49" s="159"/>
      <c r="MHT49" s="159"/>
      <c r="MHU49" s="159"/>
      <c r="MHV49" s="159"/>
      <c r="MHW49" s="159"/>
      <c r="MHX49" s="159"/>
      <c r="MHY49" s="159"/>
      <c r="MHZ49" s="159"/>
      <c r="MIA49" s="159"/>
      <c r="MIB49" s="159"/>
      <c r="MIC49" s="159"/>
      <c r="MID49" s="159"/>
      <c r="MIE49" s="159"/>
      <c r="MIF49" s="159"/>
      <c r="MIG49" s="159"/>
      <c r="MIH49" s="159"/>
      <c r="MII49" s="159"/>
      <c r="MIJ49" s="159"/>
      <c r="MIK49" s="159"/>
      <c r="MIL49" s="159"/>
      <c r="MIM49" s="159"/>
      <c r="MIN49" s="159"/>
      <c r="MIO49" s="159"/>
      <c r="MIP49" s="159"/>
      <c r="MIQ49" s="159"/>
      <c r="MIR49" s="159"/>
      <c r="MIS49" s="159"/>
      <c r="MIT49" s="159"/>
      <c r="MIU49" s="159"/>
      <c r="MIV49" s="159"/>
      <c r="MIW49" s="159"/>
      <c r="MIX49" s="159"/>
      <c r="MIY49" s="159"/>
      <c r="MIZ49" s="159"/>
      <c r="MJA49" s="159"/>
      <c r="MJB49" s="159"/>
      <c r="MJC49" s="159"/>
      <c r="MJD49" s="159"/>
      <c r="MJE49" s="159"/>
      <c r="MJF49" s="159"/>
      <c r="MJG49" s="159"/>
      <c r="MJH49" s="159"/>
      <c r="MJI49" s="159"/>
      <c r="MJJ49" s="159"/>
      <c r="MJK49" s="159"/>
      <c r="MJL49" s="159"/>
      <c r="MJM49" s="159"/>
      <c r="MJN49" s="159"/>
      <c r="MJO49" s="159"/>
      <c r="MJP49" s="159"/>
      <c r="MJQ49" s="159"/>
      <c r="MJR49" s="159"/>
      <c r="MJS49" s="159"/>
      <c r="MJT49" s="159"/>
      <c r="MJU49" s="159"/>
      <c r="MJV49" s="159"/>
      <c r="MJW49" s="159"/>
      <c r="MJX49" s="159"/>
      <c r="MJY49" s="159"/>
      <c r="MJZ49" s="159"/>
      <c r="MKA49" s="159"/>
      <c r="MKB49" s="159"/>
      <c r="MKC49" s="159"/>
      <c r="MKD49" s="159"/>
      <c r="MKE49" s="159"/>
      <c r="MKF49" s="159"/>
      <c r="MKG49" s="159"/>
      <c r="MKH49" s="159"/>
      <c r="MKI49" s="159"/>
      <c r="MKJ49" s="159"/>
      <c r="MKK49" s="159"/>
      <c r="MKL49" s="159"/>
      <c r="MKM49" s="159"/>
      <c r="MKN49" s="159"/>
      <c r="MKO49" s="159"/>
      <c r="MKP49" s="159"/>
      <c r="MKQ49" s="159"/>
      <c r="MKR49" s="159"/>
      <c r="MKS49" s="159"/>
      <c r="MKT49" s="159"/>
      <c r="MKU49" s="159"/>
      <c r="MKV49" s="159"/>
      <c r="MKW49" s="159"/>
      <c r="MKX49" s="159"/>
      <c r="MKY49" s="159"/>
      <c r="MKZ49" s="159"/>
      <c r="MLA49" s="159"/>
      <c r="MLB49" s="159"/>
      <c r="MLC49" s="159"/>
      <c r="MLD49" s="159"/>
      <c r="MLE49" s="159"/>
      <c r="MLF49" s="159"/>
      <c r="MLG49" s="159"/>
      <c r="MLH49" s="159"/>
      <c r="MLI49" s="159"/>
      <c r="MLJ49" s="159"/>
      <c r="MLK49" s="159"/>
      <c r="MLL49" s="159"/>
      <c r="MLM49" s="159"/>
      <c r="MLN49" s="159"/>
      <c r="MLO49" s="159"/>
      <c r="MLP49" s="159"/>
      <c r="MLQ49" s="159"/>
      <c r="MLR49" s="159"/>
      <c r="MLS49" s="159"/>
      <c r="MLT49" s="159"/>
      <c r="MLU49" s="159"/>
      <c r="MLV49" s="159"/>
      <c r="MLW49" s="159"/>
      <c r="MLX49" s="159"/>
      <c r="MLY49" s="159"/>
      <c r="MLZ49" s="159"/>
      <c r="MMA49" s="159"/>
      <c r="MMB49" s="159"/>
      <c r="MMC49" s="159"/>
      <c r="MMD49" s="159"/>
      <c r="MME49" s="159"/>
      <c r="MMF49" s="159"/>
      <c r="MMG49" s="159"/>
      <c r="MMH49" s="159"/>
      <c r="MMI49" s="159"/>
      <c r="MMJ49" s="159"/>
      <c r="MMK49" s="159"/>
      <c r="MML49" s="159"/>
      <c r="MMM49" s="159"/>
      <c r="MMN49" s="159"/>
      <c r="MMO49" s="159"/>
      <c r="MMP49" s="159"/>
      <c r="MMQ49" s="159"/>
      <c r="MMR49" s="159"/>
      <c r="MMS49" s="159"/>
      <c r="MMT49" s="159"/>
      <c r="MMU49" s="159"/>
      <c r="MMV49" s="159"/>
      <c r="MMW49" s="159"/>
      <c r="MMX49" s="159"/>
      <c r="MMY49" s="159"/>
      <c r="MMZ49" s="159"/>
      <c r="MNA49" s="159"/>
      <c r="MNB49" s="159"/>
      <c r="MNC49" s="159"/>
      <c r="MND49" s="159"/>
      <c r="MNE49" s="159"/>
      <c r="MNF49" s="159"/>
      <c r="MNG49" s="159"/>
      <c r="MNH49" s="159"/>
      <c r="MNI49" s="159"/>
      <c r="MNJ49" s="159"/>
      <c r="MNK49" s="159"/>
      <c r="MNL49" s="159"/>
      <c r="MNM49" s="159"/>
      <c r="MNN49" s="159"/>
      <c r="MNO49" s="159"/>
      <c r="MNP49" s="159"/>
      <c r="MNQ49" s="159"/>
      <c r="MNR49" s="159"/>
      <c r="MNS49" s="159"/>
      <c r="MNT49" s="159"/>
      <c r="MNU49" s="159"/>
      <c r="MNV49" s="159"/>
      <c r="MNW49" s="159"/>
      <c r="MNX49" s="159"/>
      <c r="MNY49" s="159"/>
      <c r="MNZ49" s="159"/>
      <c r="MOA49" s="159"/>
      <c r="MOB49" s="159"/>
      <c r="MOC49" s="159"/>
      <c r="MOD49" s="159"/>
      <c r="MOE49" s="159"/>
      <c r="MOF49" s="159"/>
      <c r="MOG49" s="159"/>
      <c r="MOH49" s="159"/>
      <c r="MOI49" s="159"/>
      <c r="MOJ49" s="159"/>
      <c r="MOK49" s="159"/>
      <c r="MOL49" s="159"/>
      <c r="MOM49" s="159"/>
      <c r="MON49" s="159"/>
      <c r="MOO49" s="159"/>
      <c r="MOP49" s="159"/>
      <c r="MOQ49" s="159"/>
      <c r="MOR49" s="159"/>
      <c r="MOS49" s="159"/>
      <c r="MOT49" s="159"/>
      <c r="MOU49" s="159"/>
      <c r="MOV49" s="159"/>
      <c r="MOW49" s="159"/>
      <c r="MOX49" s="159"/>
      <c r="MOY49" s="159"/>
      <c r="MOZ49" s="159"/>
      <c r="MPA49" s="159"/>
      <c r="MPB49" s="159"/>
      <c r="MPC49" s="159"/>
      <c r="MPD49" s="159"/>
      <c r="MPE49" s="159"/>
      <c r="MPF49" s="159"/>
      <c r="MPG49" s="159"/>
      <c r="MPH49" s="159"/>
      <c r="MPI49" s="159"/>
      <c r="MPJ49" s="159"/>
      <c r="MPK49" s="159"/>
      <c r="MPL49" s="159"/>
      <c r="MPM49" s="159"/>
      <c r="MPN49" s="159"/>
      <c r="MPO49" s="159"/>
      <c r="MPP49" s="159"/>
      <c r="MPQ49" s="159"/>
      <c r="MPR49" s="159"/>
      <c r="MPS49" s="159"/>
      <c r="MPT49" s="159"/>
      <c r="MPU49" s="159"/>
      <c r="MPV49" s="159"/>
      <c r="MPW49" s="159"/>
      <c r="MPX49" s="159"/>
      <c r="MPY49" s="159"/>
      <c r="MPZ49" s="159"/>
      <c r="MQA49" s="159"/>
      <c r="MQB49" s="159"/>
      <c r="MQC49" s="159"/>
      <c r="MQD49" s="159"/>
      <c r="MQE49" s="159"/>
      <c r="MQF49" s="159"/>
      <c r="MQG49" s="159"/>
      <c r="MQH49" s="159"/>
      <c r="MQI49" s="159"/>
      <c r="MQJ49" s="159"/>
      <c r="MQK49" s="159"/>
      <c r="MQL49" s="159"/>
      <c r="MQM49" s="159"/>
      <c r="MQN49" s="159"/>
      <c r="MQO49" s="159"/>
      <c r="MQP49" s="159"/>
      <c r="MQQ49" s="159"/>
      <c r="MQR49" s="159"/>
      <c r="MQS49" s="159"/>
      <c r="MQT49" s="159"/>
      <c r="MQU49" s="159"/>
      <c r="MQV49" s="159"/>
      <c r="MQW49" s="159"/>
      <c r="MQX49" s="159"/>
      <c r="MQY49" s="159"/>
      <c r="MQZ49" s="159"/>
      <c r="MRA49" s="159"/>
      <c r="MRB49" s="159"/>
      <c r="MRC49" s="159"/>
      <c r="MRD49" s="159"/>
      <c r="MRE49" s="159"/>
      <c r="MRF49" s="159"/>
      <c r="MRG49" s="159"/>
      <c r="MRH49" s="159"/>
      <c r="MRI49" s="159"/>
      <c r="MRJ49" s="159"/>
      <c r="MRK49" s="159"/>
      <c r="MRL49" s="159"/>
      <c r="MRM49" s="159"/>
      <c r="MRN49" s="159"/>
      <c r="MRO49" s="159"/>
      <c r="MRP49" s="159"/>
      <c r="MRQ49" s="159"/>
      <c r="MRR49" s="159"/>
      <c r="MRS49" s="159"/>
      <c r="MRT49" s="159"/>
      <c r="MRU49" s="159"/>
      <c r="MRV49" s="159"/>
      <c r="MRW49" s="159"/>
      <c r="MRX49" s="159"/>
      <c r="MRY49" s="159"/>
      <c r="MRZ49" s="159"/>
      <c r="MSA49" s="159"/>
      <c r="MSB49" s="159"/>
      <c r="MSC49" s="159"/>
      <c r="MSD49" s="159"/>
      <c r="MSE49" s="159"/>
      <c r="MSF49" s="159"/>
      <c r="MSG49" s="159"/>
      <c r="MSH49" s="159"/>
      <c r="MSI49" s="159"/>
      <c r="MSJ49" s="159"/>
      <c r="MSK49" s="159"/>
      <c r="MSL49" s="159"/>
      <c r="MSM49" s="159"/>
      <c r="MSN49" s="159"/>
      <c r="MSO49" s="159"/>
      <c r="MSP49" s="159"/>
      <c r="MSQ49" s="159"/>
      <c r="MSR49" s="159"/>
      <c r="MSS49" s="159"/>
      <c r="MST49" s="159"/>
      <c r="MSU49" s="159"/>
      <c r="MSV49" s="159"/>
      <c r="MSW49" s="159"/>
      <c r="MSX49" s="159"/>
      <c r="MSY49" s="159"/>
      <c r="MSZ49" s="159"/>
      <c r="MTA49" s="159"/>
      <c r="MTB49" s="159"/>
      <c r="MTC49" s="159"/>
      <c r="MTD49" s="159"/>
      <c r="MTE49" s="159"/>
      <c r="MTF49" s="159"/>
      <c r="MTG49" s="159"/>
      <c r="MTH49" s="159"/>
      <c r="MTI49" s="159"/>
      <c r="MTJ49" s="159"/>
      <c r="MTK49" s="159"/>
      <c r="MTL49" s="159"/>
      <c r="MTM49" s="159"/>
      <c r="MTN49" s="159"/>
      <c r="MTO49" s="159"/>
      <c r="MTP49" s="159"/>
      <c r="MTQ49" s="159"/>
      <c r="MTR49" s="159"/>
      <c r="MTS49" s="159"/>
      <c r="MTT49" s="159"/>
      <c r="MTU49" s="159"/>
      <c r="MTV49" s="159"/>
      <c r="MTW49" s="159"/>
      <c r="MTX49" s="159"/>
      <c r="MTY49" s="159"/>
      <c r="MTZ49" s="159"/>
      <c r="MUA49" s="159"/>
      <c r="MUB49" s="159"/>
      <c r="MUC49" s="159"/>
      <c r="MUD49" s="159"/>
      <c r="MUE49" s="159"/>
      <c r="MUF49" s="159"/>
      <c r="MUG49" s="159"/>
      <c r="MUH49" s="159"/>
      <c r="MUI49" s="159"/>
      <c r="MUJ49" s="159"/>
      <c r="MUK49" s="159"/>
      <c r="MUL49" s="159"/>
      <c r="MUM49" s="159"/>
      <c r="MUN49" s="159"/>
      <c r="MUO49" s="159"/>
      <c r="MUP49" s="159"/>
      <c r="MUQ49" s="159"/>
      <c r="MUR49" s="159"/>
      <c r="MUS49" s="159"/>
      <c r="MUT49" s="159"/>
      <c r="MUU49" s="159"/>
      <c r="MUV49" s="159"/>
      <c r="MUW49" s="159"/>
      <c r="MUX49" s="159"/>
      <c r="MUY49" s="159"/>
      <c r="MUZ49" s="159"/>
      <c r="MVA49" s="159"/>
      <c r="MVB49" s="159"/>
      <c r="MVC49" s="159"/>
      <c r="MVD49" s="159"/>
      <c r="MVE49" s="159"/>
      <c r="MVF49" s="159"/>
      <c r="MVG49" s="159"/>
      <c r="MVH49" s="159"/>
      <c r="MVI49" s="159"/>
      <c r="MVJ49" s="159"/>
      <c r="MVK49" s="159"/>
      <c r="MVL49" s="159"/>
      <c r="MVM49" s="159"/>
      <c r="MVN49" s="159"/>
      <c r="MVO49" s="159"/>
      <c r="MVP49" s="159"/>
      <c r="MVQ49" s="159"/>
      <c r="MVR49" s="159"/>
      <c r="MVS49" s="159"/>
      <c r="MVT49" s="159"/>
      <c r="MVU49" s="159"/>
      <c r="MVV49" s="159"/>
      <c r="MVW49" s="159"/>
      <c r="MVX49" s="159"/>
      <c r="MVY49" s="159"/>
      <c r="MVZ49" s="159"/>
      <c r="MWA49" s="159"/>
      <c r="MWB49" s="159"/>
      <c r="MWC49" s="159"/>
      <c r="MWD49" s="159"/>
      <c r="MWE49" s="159"/>
      <c r="MWF49" s="159"/>
      <c r="MWG49" s="159"/>
      <c r="MWH49" s="159"/>
      <c r="MWI49" s="159"/>
      <c r="MWJ49" s="159"/>
      <c r="MWK49" s="159"/>
      <c r="MWL49" s="159"/>
      <c r="MWM49" s="159"/>
      <c r="MWN49" s="159"/>
      <c r="MWO49" s="159"/>
      <c r="MWP49" s="159"/>
      <c r="MWQ49" s="159"/>
      <c r="MWR49" s="159"/>
      <c r="MWS49" s="159"/>
      <c r="MWT49" s="159"/>
      <c r="MWU49" s="159"/>
      <c r="MWV49" s="159"/>
      <c r="MWW49" s="159"/>
      <c r="MWX49" s="159"/>
      <c r="MWY49" s="159"/>
      <c r="MWZ49" s="159"/>
      <c r="MXA49" s="159"/>
      <c r="MXB49" s="159"/>
      <c r="MXC49" s="159"/>
      <c r="MXD49" s="159"/>
      <c r="MXE49" s="159"/>
      <c r="MXF49" s="159"/>
      <c r="MXG49" s="159"/>
      <c r="MXH49" s="159"/>
      <c r="MXI49" s="159"/>
      <c r="MXJ49" s="159"/>
      <c r="MXK49" s="159"/>
      <c r="MXL49" s="159"/>
      <c r="MXM49" s="159"/>
      <c r="MXN49" s="159"/>
      <c r="MXO49" s="159"/>
      <c r="MXP49" s="159"/>
      <c r="MXQ49" s="159"/>
      <c r="MXR49" s="159"/>
      <c r="MXS49" s="159"/>
      <c r="MXT49" s="159"/>
      <c r="MXU49" s="159"/>
      <c r="MXV49" s="159"/>
      <c r="MXW49" s="159"/>
      <c r="MXX49" s="159"/>
      <c r="MXY49" s="159"/>
      <c r="MXZ49" s="159"/>
      <c r="MYA49" s="159"/>
      <c r="MYB49" s="159"/>
      <c r="MYC49" s="159"/>
      <c r="MYD49" s="159"/>
      <c r="MYE49" s="159"/>
      <c r="MYF49" s="159"/>
      <c r="MYG49" s="159"/>
      <c r="MYH49" s="159"/>
      <c r="MYI49" s="159"/>
      <c r="MYJ49" s="159"/>
      <c r="MYK49" s="159"/>
      <c r="MYL49" s="159"/>
      <c r="MYM49" s="159"/>
      <c r="MYN49" s="159"/>
      <c r="MYO49" s="159"/>
      <c r="MYP49" s="159"/>
      <c r="MYQ49" s="159"/>
      <c r="MYR49" s="159"/>
      <c r="MYS49" s="159"/>
      <c r="MYT49" s="159"/>
      <c r="MYU49" s="159"/>
      <c r="MYV49" s="159"/>
      <c r="MYW49" s="159"/>
      <c r="MYX49" s="159"/>
      <c r="MYY49" s="159"/>
      <c r="MYZ49" s="159"/>
      <c r="MZA49" s="159"/>
      <c r="MZB49" s="159"/>
      <c r="MZC49" s="159"/>
      <c r="MZD49" s="159"/>
      <c r="MZE49" s="159"/>
      <c r="MZF49" s="159"/>
      <c r="MZG49" s="159"/>
      <c r="MZH49" s="159"/>
      <c r="MZI49" s="159"/>
      <c r="MZJ49" s="159"/>
      <c r="MZK49" s="159"/>
      <c r="MZL49" s="159"/>
      <c r="MZM49" s="159"/>
      <c r="MZN49" s="159"/>
      <c r="MZO49" s="159"/>
      <c r="MZP49" s="159"/>
      <c r="MZQ49" s="159"/>
      <c r="MZR49" s="159"/>
      <c r="MZS49" s="159"/>
      <c r="MZT49" s="159"/>
      <c r="MZU49" s="159"/>
      <c r="MZV49" s="159"/>
      <c r="MZW49" s="159"/>
      <c r="MZX49" s="159"/>
      <c r="MZY49" s="159"/>
      <c r="MZZ49" s="159"/>
      <c r="NAA49" s="159"/>
      <c r="NAB49" s="159"/>
      <c r="NAC49" s="159"/>
      <c r="NAD49" s="159"/>
      <c r="NAE49" s="159"/>
      <c r="NAF49" s="159"/>
      <c r="NAG49" s="159"/>
      <c r="NAH49" s="159"/>
      <c r="NAI49" s="159"/>
      <c r="NAJ49" s="159"/>
      <c r="NAK49" s="159"/>
      <c r="NAL49" s="159"/>
      <c r="NAM49" s="159"/>
      <c r="NAN49" s="159"/>
      <c r="NAO49" s="159"/>
      <c r="NAP49" s="159"/>
      <c r="NAQ49" s="159"/>
      <c r="NAR49" s="159"/>
      <c r="NAS49" s="159"/>
      <c r="NAT49" s="159"/>
      <c r="NAU49" s="159"/>
      <c r="NAV49" s="159"/>
      <c r="NAW49" s="159"/>
      <c r="NAX49" s="159"/>
      <c r="NAY49" s="159"/>
      <c r="NAZ49" s="159"/>
      <c r="NBA49" s="159"/>
      <c r="NBB49" s="159"/>
      <c r="NBC49" s="159"/>
      <c r="NBD49" s="159"/>
      <c r="NBE49" s="159"/>
      <c r="NBF49" s="159"/>
      <c r="NBG49" s="159"/>
      <c r="NBH49" s="159"/>
      <c r="NBI49" s="159"/>
      <c r="NBJ49" s="159"/>
      <c r="NBK49" s="159"/>
      <c r="NBL49" s="159"/>
      <c r="NBM49" s="159"/>
      <c r="NBN49" s="159"/>
      <c r="NBO49" s="159"/>
      <c r="NBP49" s="159"/>
      <c r="NBQ49" s="159"/>
      <c r="NBR49" s="159"/>
      <c r="NBS49" s="159"/>
      <c r="NBT49" s="159"/>
      <c r="NBU49" s="159"/>
      <c r="NBV49" s="159"/>
      <c r="NBW49" s="159"/>
      <c r="NBX49" s="159"/>
      <c r="NBY49" s="159"/>
      <c r="NBZ49" s="159"/>
      <c r="NCA49" s="159"/>
      <c r="NCB49" s="159"/>
      <c r="NCC49" s="159"/>
      <c r="NCD49" s="159"/>
      <c r="NCE49" s="159"/>
      <c r="NCF49" s="159"/>
      <c r="NCG49" s="159"/>
      <c r="NCH49" s="159"/>
      <c r="NCI49" s="159"/>
      <c r="NCJ49" s="159"/>
      <c r="NCK49" s="159"/>
      <c r="NCL49" s="159"/>
      <c r="NCM49" s="159"/>
      <c r="NCN49" s="159"/>
      <c r="NCO49" s="159"/>
      <c r="NCP49" s="159"/>
      <c r="NCQ49" s="159"/>
      <c r="NCR49" s="159"/>
      <c r="NCS49" s="159"/>
      <c r="NCT49" s="159"/>
      <c r="NCU49" s="159"/>
      <c r="NCV49" s="159"/>
      <c r="NCW49" s="159"/>
      <c r="NCX49" s="159"/>
      <c r="NCY49" s="159"/>
      <c r="NCZ49" s="159"/>
      <c r="NDA49" s="159"/>
      <c r="NDB49" s="159"/>
      <c r="NDC49" s="159"/>
      <c r="NDD49" s="159"/>
      <c r="NDE49" s="159"/>
      <c r="NDF49" s="159"/>
      <c r="NDG49" s="159"/>
      <c r="NDH49" s="159"/>
      <c r="NDI49" s="159"/>
      <c r="NDJ49" s="159"/>
      <c r="NDK49" s="159"/>
      <c r="NDL49" s="159"/>
      <c r="NDM49" s="159"/>
      <c r="NDN49" s="159"/>
      <c r="NDO49" s="159"/>
      <c r="NDP49" s="159"/>
      <c r="NDQ49" s="159"/>
      <c r="NDR49" s="159"/>
      <c r="NDS49" s="159"/>
      <c r="NDT49" s="159"/>
      <c r="NDU49" s="159"/>
      <c r="NDV49" s="159"/>
      <c r="NDW49" s="159"/>
      <c r="NDX49" s="159"/>
      <c r="NDY49" s="159"/>
      <c r="NDZ49" s="159"/>
      <c r="NEA49" s="159"/>
      <c r="NEB49" s="159"/>
      <c r="NEC49" s="159"/>
      <c r="NED49" s="159"/>
      <c r="NEE49" s="159"/>
      <c r="NEF49" s="159"/>
      <c r="NEG49" s="159"/>
      <c r="NEH49" s="159"/>
      <c r="NEI49" s="159"/>
      <c r="NEJ49" s="159"/>
      <c r="NEK49" s="159"/>
      <c r="NEL49" s="159"/>
      <c r="NEM49" s="159"/>
      <c r="NEN49" s="159"/>
      <c r="NEO49" s="159"/>
      <c r="NEP49" s="159"/>
      <c r="NEQ49" s="159"/>
      <c r="NER49" s="159"/>
      <c r="NES49" s="159"/>
      <c r="NET49" s="159"/>
      <c r="NEU49" s="159"/>
      <c r="NEV49" s="159"/>
      <c r="NEW49" s="159"/>
      <c r="NEX49" s="159"/>
      <c r="NEY49" s="159"/>
      <c r="NEZ49" s="159"/>
      <c r="NFA49" s="159"/>
      <c r="NFB49" s="159"/>
      <c r="NFC49" s="159"/>
      <c r="NFD49" s="159"/>
      <c r="NFE49" s="159"/>
      <c r="NFF49" s="159"/>
      <c r="NFG49" s="159"/>
      <c r="NFH49" s="159"/>
      <c r="NFI49" s="159"/>
      <c r="NFJ49" s="159"/>
      <c r="NFK49" s="159"/>
      <c r="NFL49" s="159"/>
      <c r="NFM49" s="159"/>
      <c r="NFN49" s="159"/>
      <c r="NFO49" s="159"/>
      <c r="NFP49" s="159"/>
      <c r="NFQ49" s="159"/>
      <c r="NFR49" s="159"/>
      <c r="NFS49" s="159"/>
      <c r="NFT49" s="159"/>
      <c r="NFU49" s="159"/>
      <c r="NFV49" s="159"/>
      <c r="NFW49" s="159"/>
      <c r="NFX49" s="159"/>
      <c r="NFY49" s="159"/>
      <c r="NFZ49" s="159"/>
      <c r="NGA49" s="159"/>
      <c r="NGB49" s="159"/>
      <c r="NGC49" s="159"/>
      <c r="NGD49" s="159"/>
      <c r="NGE49" s="159"/>
      <c r="NGF49" s="159"/>
      <c r="NGG49" s="159"/>
      <c r="NGH49" s="159"/>
      <c r="NGI49" s="159"/>
      <c r="NGJ49" s="159"/>
      <c r="NGK49" s="159"/>
      <c r="NGL49" s="159"/>
      <c r="NGM49" s="159"/>
      <c r="NGN49" s="159"/>
      <c r="NGO49" s="159"/>
      <c r="NGP49" s="159"/>
      <c r="NGQ49" s="159"/>
      <c r="NGR49" s="159"/>
      <c r="NGS49" s="159"/>
      <c r="NGT49" s="159"/>
      <c r="NGU49" s="159"/>
      <c r="NGV49" s="159"/>
      <c r="NGW49" s="159"/>
      <c r="NGX49" s="159"/>
      <c r="NGY49" s="159"/>
      <c r="NGZ49" s="159"/>
      <c r="NHA49" s="159"/>
      <c r="NHB49" s="159"/>
      <c r="NHC49" s="159"/>
      <c r="NHD49" s="159"/>
      <c r="NHE49" s="159"/>
      <c r="NHF49" s="159"/>
      <c r="NHG49" s="159"/>
      <c r="NHH49" s="159"/>
      <c r="NHI49" s="159"/>
      <c r="NHJ49" s="159"/>
      <c r="NHK49" s="159"/>
      <c r="NHL49" s="159"/>
      <c r="NHM49" s="159"/>
      <c r="NHN49" s="159"/>
      <c r="NHO49" s="159"/>
      <c r="NHP49" s="159"/>
      <c r="NHQ49" s="159"/>
      <c r="NHR49" s="159"/>
      <c r="NHS49" s="159"/>
      <c r="NHT49" s="159"/>
      <c r="NHU49" s="159"/>
      <c r="NHV49" s="159"/>
      <c r="NHW49" s="159"/>
      <c r="NHX49" s="159"/>
      <c r="NHY49" s="159"/>
      <c r="NHZ49" s="159"/>
      <c r="NIA49" s="159"/>
      <c r="NIB49" s="159"/>
      <c r="NIC49" s="159"/>
      <c r="NID49" s="159"/>
      <c r="NIE49" s="159"/>
      <c r="NIF49" s="159"/>
      <c r="NIG49" s="159"/>
      <c r="NIH49" s="159"/>
      <c r="NII49" s="159"/>
      <c r="NIJ49" s="159"/>
      <c r="NIK49" s="159"/>
      <c r="NIL49" s="159"/>
      <c r="NIM49" s="159"/>
      <c r="NIN49" s="159"/>
      <c r="NIO49" s="159"/>
      <c r="NIP49" s="159"/>
      <c r="NIQ49" s="159"/>
      <c r="NIR49" s="159"/>
      <c r="NIS49" s="159"/>
      <c r="NIT49" s="159"/>
      <c r="NIU49" s="159"/>
      <c r="NIV49" s="159"/>
      <c r="NIW49" s="159"/>
      <c r="NIX49" s="159"/>
      <c r="NIY49" s="159"/>
      <c r="NIZ49" s="159"/>
      <c r="NJA49" s="159"/>
      <c r="NJB49" s="159"/>
      <c r="NJC49" s="159"/>
      <c r="NJD49" s="159"/>
      <c r="NJE49" s="159"/>
      <c r="NJF49" s="159"/>
      <c r="NJG49" s="159"/>
      <c r="NJH49" s="159"/>
      <c r="NJI49" s="159"/>
      <c r="NJJ49" s="159"/>
      <c r="NJK49" s="159"/>
      <c r="NJL49" s="159"/>
      <c r="NJM49" s="159"/>
      <c r="NJN49" s="159"/>
      <c r="NJO49" s="159"/>
      <c r="NJP49" s="159"/>
      <c r="NJQ49" s="159"/>
      <c r="NJR49" s="159"/>
      <c r="NJS49" s="159"/>
      <c r="NJT49" s="159"/>
      <c r="NJU49" s="159"/>
      <c r="NJV49" s="159"/>
      <c r="NJW49" s="159"/>
      <c r="NJX49" s="159"/>
      <c r="NJY49" s="159"/>
      <c r="NJZ49" s="159"/>
      <c r="NKA49" s="159"/>
      <c r="NKB49" s="159"/>
      <c r="NKC49" s="159"/>
      <c r="NKD49" s="159"/>
      <c r="NKE49" s="159"/>
      <c r="NKF49" s="159"/>
      <c r="NKG49" s="159"/>
      <c r="NKH49" s="159"/>
      <c r="NKI49" s="159"/>
      <c r="NKJ49" s="159"/>
      <c r="NKK49" s="159"/>
      <c r="NKL49" s="159"/>
      <c r="NKM49" s="159"/>
      <c r="NKN49" s="159"/>
      <c r="NKO49" s="159"/>
      <c r="NKP49" s="159"/>
      <c r="NKQ49" s="159"/>
      <c r="NKR49" s="159"/>
      <c r="NKS49" s="159"/>
      <c r="NKT49" s="159"/>
      <c r="NKU49" s="159"/>
      <c r="NKV49" s="159"/>
      <c r="NKW49" s="159"/>
      <c r="NKX49" s="159"/>
      <c r="NKY49" s="159"/>
      <c r="NKZ49" s="159"/>
      <c r="NLA49" s="159"/>
      <c r="NLB49" s="159"/>
      <c r="NLC49" s="159"/>
      <c r="NLD49" s="159"/>
      <c r="NLE49" s="159"/>
      <c r="NLF49" s="159"/>
      <c r="NLG49" s="159"/>
      <c r="NLH49" s="159"/>
      <c r="NLI49" s="159"/>
      <c r="NLJ49" s="159"/>
      <c r="NLK49" s="159"/>
      <c r="NLL49" s="159"/>
      <c r="NLM49" s="159"/>
      <c r="NLN49" s="159"/>
      <c r="NLO49" s="159"/>
      <c r="NLP49" s="159"/>
      <c r="NLQ49" s="159"/>
      <c r="NLR49" s="159"/>
      <c r="NLS49" s="159"/>
      <c r="NLT49" s="159"/>
      <c r="NLU49" s="159"/>
      <c r="NLV49" s="159"/>
      <c r="NLW49" s="159"/>
      <c r="NLX49" s="159"/>
      <c r="NLY49" s="159"/>
      <c r="NLZ49" s="159"/>
      <c r="NMA49" s="159"/>
      <c r="NMB49" s="159"/>
      <c r="NMC49" s="159"/>
      <c r="NMD49" s="159"/>
      <c r="NME49" s="159"/>
      <c r="NMF49" s="159"/>
      <c r="NMG49" s="159"/>
      <c r="NMH49" s="159"/>
      <c r="NMI49" s="159"/>
      <c r="NMJ49" s="159"/>
      <c r="NMK49" s="159"/>
      <c r="NML49" s="159"/>
      <c r="NMM49" s="159"/>
      <c r="NMN49" s="159"/>
      <c r="NMO49" s="159"/>
      <c r="NMP49" s="159"/>
      <c r="NMQ49" s="159"/>
      <c r="NMR49" s="159"/>
      <c r="NMS49" s="159"/>
      <c r="NMT49" s="159"/>
      <c r="NMU49" s="159"/>
      <c r="NMV49" s="159"/>
      <c r="NMW49" s="159"/>
      <c r="NMX49" s="159"/>
      <c r="NMY49" s="159"/>
      <c r="NMZ49" s="159"/>
      <c r="NNA49" s="159"/>
      <c r="NNB49" s="159"/>
      <c r="NNC49" s="159"/>
      <c r="NND49" s="159"/>
      <c r="NNE49" s="159"/>
      <c r="NNF49" s="159"/>
      <c r="NNG49" s="159"/>
      <c r="NNH49" s="159"/>
      <c r="NNI49" s="159"/>
      <c r="NNJ49" s="159"/>
      <c r="NNK49" s="159"/>
      <c r="NNL49" s="159"/>
      <c r="NNM49" s="159"/>
      <c r="NNN49" s="159"/>
      <c r="NNO49" s="159"/>
      <c r="NNP49" s="159"/>
      <c r="NNQ49" s="159"/>
      <c r="NNR49" s="159"/>
      <c r="NNS49" s="159"/>
      <c r="NNT49" s="159"/>
      <c r="NNU49" s="159"/>
      <c r="NNV49" s="159"/>
      <c r="NNW49" s="159"/>
      <c r="NNX49" s="159"/>
      <c r="NNY49" s="159"/>
      <c r="NNZ49" s="159"/>
      <c r="NOA49" s="159"/>
      <c r="NOB49" s="159"/>
      <c r="NOC49" s="159"/>
      <c r="NOD49" s="159"/>
      <c r="NOE49" s="159"/>
      <c r="NOF49" s="159"/>
      <c r="NOG49" s="159"/>
      <c r="NOH49" s="159"/>
      <c r="NOI49" s="159"/>
      <c r="NOJ49" s="159"/>
      <c r="NOK49" s="159"/>
      <c r="NOL49" s="159"/>
      <c r="NOM49" s="159"/>
      <c r="NON49" s="159"/>
      <c r="NOO49" s="159"/>
      <c r="NOP49" s="159"/>
      <c r="NOQ49" s="159"/>
      <c r="NOR49" s="159"/>
      <c r="NOS49" s="159"/>
      <c r="NOT49" s="159"/>
      <c r="NOU49" s="159"/>
      <c r="NOV49" s="159"/>
      <c r="NOW49" s="159"/>
      <c r="NOX49" s="159"/>
      <c r="NOY49" s="159"/>
      <c r="NOZ49" s="159"/>
      <c r="NPA49" s="159"/>
      <c r="NPB49" s="159"/>
      <c r="NPC49" s="159"/>
      <c r="NPD49" s="159"/>
      <c r="NPE49" s="159"/>
      <c r="NPF49" s="159"/>
      <c r="NPG49" s="159"/>
      <c r="NPH49" s="159"/>
      <c r="NPI49" s="159"/>
      <c r="NPJ49" s="159"/>
      <c r="NPK49" s="159"/>
      <c r="NPL49" s="159"/>
      <c r="NPM49" s="159"/>
      <c r="NPN49" s="159"/>
      <c r="NPO49" s="159"/>
      <c r="NPP49" s="159"/>
      <c r="NPQ49" s="159"/>
      <c r="NPR49" s="159"/>
      <c r="NPS49" s="159"/>
      <c r="NPT49" s="159"/>
      <c r="NPU49" s="159"/>
      <c r="NPV49" s="159"/>
      <c r="NPW49" s="159"/>
      <c r="NPX49" s="159"/>
      <c r="NPY49" s="159"/>
      <c r="NPZ49" s="159"/>
      <c r="NQA49" s="159"/>
      <c r="NQB49" s="159"/>
      <c r="NQC49" s="159"/>
      <c r="NQD49" s="159"/>
      <c r="NQE49" s="159"/>
      <c r="NQF49" s="159"/>
      <c r="NQG49" s="159"/>
      <c r="NQH49" s="159"/>
      <c r="NQI49" s="159"/>
      <c r="NQJ49" s="159"/>
      <c r="NQK49" s="159"/>
      <c r="NQL49" s="159"/>
      <c r="NQM49" s="159"/>
      <c r="NQN49" s="159"/>
      <c r="NQO49" s="159"/>
      <c r="NQP49" s="159"/>
      <c r="NQQ49" s="159"/>
      <c r="NQR49" s="159"/>
      <c r="NQS49" s="159"/>
      <c r="NQT49" s="159"/>
      <c r="NQU49" s="159"/>
      <c r="NQV49" s="159"/>
      <c r="NQW49" s="159"/>
      <c r="NQX49" s="159"/>
      <c r="NQY49" s="159"/>
      <c r="NQZ49" s="159"/>
      <c r="NRA49" s="159"/>
      <c r="NRB49" s="159"/>
      <c r="NRC49" s="159"/>
      <c r="NRD49" s="159"/>
      <c r="NRE49" s="159"/>
      <c r="NRF49" s="159"/>
      <c r="NRG49" s="159"/>
      <c r="NRH49" s="159"/>
      <c r="NRI49" s="159"/>
      <c r="NRJ49" s="159"/>
      <c r="NRK49" s="159"/>
      <c r="NRL49" s="159"/>
      <c r="NRM49" s="159"/>
      <c r="NRN49" s="159"/>
      <c r="NRO49" s="159"/>
      <c r="NRP49" s="159"/>
      <c r="NRQ49" s="159"/>
      <c r="NRR49" s="159"/>
      <c r="NRS49" s="159"/>
      <c r="NRT49" s="159"/>
      <c r="NRU49" s="159"/>
      <c r="NRV49" s="159"/>
      <c r="NRW49" s="159"/>
      <c r="NRX49" s="159"/>
      <c r="NRY49" s="159"/>
      <c r="NRZ49" s="159"/>
      <c r="NSA49" s="159"/>
      <c r="NSB49" s="159"/>
      <c r="NSC49" s="159"/>
      <c r="NSD49" s="159"/>
      <c r="NSE49" s="159"/>
      <c r="NSF49" s="159"/>
      <c r="NSG49" s="159"/>
      <c r="NSH49" s="159"/>
      <c r="NSI49" s="159"/>
      <c r="NSJ49" s="159"/>
      <c r="NSK49" s="159"/>
      <c r="NSL49" s="159"/>
      <c r="NSM49" s="159"/>
      <c r="NSN49" s="159"/>
      <c r="NSO49" s="159"/>
      <c r="NSP49" s="159"/>
      <c r="NSQ49" s="159"/>
      <c r="NSR49" s="159"/>
      <c r="NSS49" s="159"/>
      <c r="NST49" s="159"/>
      <c r="NSU49" s="159"/>
      <c r="NSV49" s="159"/>
      <c r="NSW49" s="159"/>
      <c r="NSX49" s="159"/>
      <c r="NSY49" s="159"/>
      <c r="NSZ49" s="159"/>
      <c r="NTA49" s="159"/>
      <c r="NTB49" s="159"/>
      <c r="NTC49" s="159"/>
      <c r="NTD49" s="159"/>
      <c r="NTE49" s="159"/>
      <c r="NTF49" s="159"/>
      <c r="NTG49" s="159"/>
      <c r="NTH49" s="159"/>
      <c r="NTI49" s="159"/>
      <c r="NTJ49" s="159"/>
      <c r="NTK49" s="159"/>
      <c r="NTL49" s="159"/>
      <c r="NTM49" s="159"/>
      <c r="NTN49" s="159"/>
      <c r="NTO49" s="159"/>
      <c r="NTP49" s="159"/>
      <c r="NTQ49" s="159"/>
      <c r="NTR49" s="159"/>
      <c r="NTS49" s="159"/>
      <c r="NTT49" s="159"/>
      <c r="NTU49" s="159"/>
      <c r="NTV49" s="159"/>
      <c r="NTW49" s="159"/>
      <c r="NTX49" s="159"/>
      <c r="NTY49" s="159"/>
      <c r="NTZ49" s="159"/>
      <c r="NUA49" s="159"/>
      <c r="NUB49" s="159"/>
      <c r="NUC49" s="159"/>
      <c r="NUD49" s="159"/>
      <c r="NUE49" s="159"/>
      <c r="NUF49" s="159"/>
      <c r="NUG49" s="159"/>
      <c r="NUH49" s="159"/>
      <c r="NUI49" s="159"/>
      <c r="NUJ49" s="159"/>
      <c r="NUK49" s="159"/>
      <c r="NUL49" s="159"/>
      <c r="NUM49" s="159"/>
      <c r="NUN49" s="159"/>
      <c r="NUO49" s="159"/>
      <c r="NUP49" s="159"/>
      <c r="NUQ49" s="159"/>
      <c r="NUR49" s="159"/>
      <c r="NUS49" s="159"/>
      <c r="NUT49" s="159"/>
      <c r="NUU49" s="159"/>
      <c r="NUV49" s="159"/>
      <c r="NUW49" s="159"/>
      <c r="NUX49" s="159"/>
      <c r="NUY49" s="159"/>
      <c r="NUZ49" s="159"/>
      <c r="NVA49" s="159"/>
      <c r="NVB49" s="159"/>
      <c r="NVC49" s="159"/>
      <c r="NVD49" s="159"/>
      <c r="NVE49" s="159"/>
      <c r="NVF49" s="159"/>
      <c r="NVG49" s="159"/>
      <c r="NVH49" s="159"/>
      <c r="NVI49" s="159"/>
      <c r="NVJ49" s="159"/>
      <c r="NVK49" s="159"/>
      <c r="NVL49" s="159"/>
      <c r="NVM49" s="159"/>
      <c r="NVN49" s="159"/>
      <c r="NVO49" s="159"/>
      <c r="NVP49" s="159"/>
      <c r="NVQ49" s="159"/>
      <c r="NVR49" s="159"/>
      <c r="NVS49" s="159"/>
      <c r="NVT49" s="159"/>
      <c r="NVU49" s="159"/>
      <c r="NVV49" s="159"/>
      <c r="NVW49" s="159"/>
      <c r="NVX49" s="159"/>
      <c r="NVY49" s="159"/>
      <c r="NVZ49" s="159"/>
      <c r="NWA49" s="159"/>
      <c r="NWB49" s="159"/>
      <c r="NWC49" s="159"/>
      <c r="NWD49" s="159"/>
      <c r="NWE49" s="159"/>
      <c r="NWF49" s="159"/>
      <c r="NWG49" s="159"/>
      <c r="NWH49" s="159"/>
      <c r="NWI49" s="159"/>
      <c r="NWJ49" s="159"/>
      <c r="NWK49" s="159"/>
      <c r="NWL49" s="159"/>
      <c r="NWM49" s="159"/>
      <c r="NWN49" s="159"/>
      <c r="NWO49" s="159"/>
      <c r="NWP49" s="159"/>
      <c r="NWQ49" s="159"/>
      <c r="NWR49" s="159"/>
      <c r="NWS49" s="159"/>
      <c r="NWT49" s="159"/>
      <c r="NWU49" s="159"/>
      <c r="NWV49" s="159"/>
      <c r="NWW49" s="159"/>
      <c r="NWX49" s="159"/>
      <c r="NWY49" s="159"/>
      <c r="NWZ49" s="159"/>
      <c r="NXA49" s="159"/>
      <c r="NXB49" s="159"/>
      <c r="NXC49" s="159"/>
      <c r="NXD49" s="159"/>
      <c r="NXE49" s="159"/>
      <c r="NXF49" s="159"/>
      <c r="NXG49" s="159"/>
      <c r="NXH49" s="159"/>
      <c r="NXI49" s="159"/>
      <c r="NXJ49" s="159"/>
      <c r="NXK49" s="159"/>
      <c r="NXL49" s="159"/>
      <c r="NXM49" s="159"/>
      <c r="NXN49" s="159"/>
      <c r="NXO49" s="159"/>
      <c r="NXP49" s="159"/>
      <c r="NXQ49" s="159"/>
      <c r="NXR49" s="159"/>
      <c r="NXS49" s="159"/>
      <c r="NXT49" s="159"/>
      <c r="NXU49" s="159"/>
      <c r="NXV49" s="159"/>
      <c r="NXW49" s="159"/>
      <c r="NXX49" s="159"/>
      <c r="NXY49" s="159"/>
      <c r="NXZ49" s="159"/>
      <c r="NYA49" s="159"/>
      <c r="NYB49" s="159"/>
      <c r="NYC49" s="159"/>
      <c r="NYD49" s="159"/>
      <c r="NYE49" s="159"/>
      <c r="NYF49" s="159"/>
      <c r="NYG49" s="159"/>
      <c r="NYH49" s="159"/>
      <c r="NYI49" s="159"/>
      <c r="NYJ49" s="159"/>
      <c r="NYK49" s="159"/>
      <c r="NYL49" s="159"/>
      <c r="NYM49" s="159"/>
      <c r="NYN49" s="159"/>
      <c r="NYO49" s="159"/>
      <c r="NYP49" s="159"/>
      <c r="NYQ49" s="159"/>
      <c r="NYR49" s="159"/>
      <c r="NYS49" s="159"/>
      <c r="NYT49" s="159"/>
      <c r="NYU49" s="159"/>
      <c r="NYV49" s="159"/>
      <c r="NYW49" s="159"/>
      <c r="NYX49" s="159"/>
      <c r="NYY49" s="159"/>
      <c r="NYZ49" s="159"/>
      <c r="NZA49" s="159"/>
      <c r="NZB49" s="159"/>
      <c r="NZC49" s="159"/>
      <c r="NZD49" s="159"/>
      <c r="NZE49" s="159"/>
      <c r="NZF49" s="159"/>
      <c r="NZG49" s="159"/>
      <c r="NZH49" s="159"/>
      <c r="NZI49" s="159"/>
      <c r="NZJ49" s="159"/>
      <c r="NZK49" s="159"/>
      <c r="NZL49" s="159"/>
      <c r="NZM49" s="159"/>
      <c r="NZN49" s="159"/>
      <c r="NZO49" s="159"/>
      <c r="NZP49" s="159"/>
      <c r="NZQ49" s="159"/>
      <c r="NZR49" s="159"/>
      <c r="NZS49" s="159"/>
      <c r="NZT49" s="159"/>
      <c r="NZU49" s="159"/>
      <c r="NZV49" s="159"/>
      <c r="NZW49" s="159"/>
      <c r="NZX49" s="159"/>
      <c r="NZY49" s="159"/>
      <c r="NZZ49" s="159"/>
      <c r="OAA49" s="159"/>
      <c r="OAB49" s="159"/>
      <c r="OAC49" s="159"/>
      <c r="OAD49" s="159"/>
      <c r="OAE49" s="159"/>
      <c r="OAF49" s="159"/>
      <c r="OAG49" s="159"/>
      <c r="OAH49" s="159"/>
      <c r="OAI49" s="159"/>
      <c r="OAJ49" s="159"/>
      <c r="OAK49" s="159"/>
      <c r="OAL49" s="159"/>
      <c r="OAM49" s="159"/>
      <c r="OAN49" s="159"/>
      <c r="OAO49" s="159"/>
      <c r="OAP49" s="159"/>
      <c r="OAQ49" s="159"/>
      <c r="OAR49" s="159"/>
      <c r="OAS49" s="159"/>
      <c r="OAT49" s="159"/>
      <c r="OAU49" s="159"/>
      <c r="OAV49" s="159"/>
      <c r="OAW49" s="159"/>
      <c r="OAX49" s="159"/>
      <c r="OAY49" s="159"/>
      <c r="OAZ49" s="159"/>
      <c r="OBA49" s="159"/>
      <c r="OBB49" s="159"/>
      <c r="OBC49" s="159"/>
      <c r="OBD49" s="159"/>
      <c r="OBE49" s="159"/>
      <c r="OBF49" s="159"/>
      <c r="OBG49" s="159"/>
      <c r="OBH49" s="159"/>
      <c r="OBI49" s="159"/>
      <c r="OBJ49" s="159"/>
      <c r="OBK49" s="159"/>
      <c r="OBL49" s="159"/>
      <c r="OBM49" s="159"/>
      <c r="OBN49" s="159"/>
      <c r="OBO49" s="159"/>
      <c r="OBP49" s="159"/>
      <c r="OBQ49" s="159"/>
      <c r="OBR49" s="159"/>
      <c r="OBS49" s="159"/>
      <c r="OBT49" s="159"/>
      <c r="OBU49" s="159"/>
      <c r="OBV49" s="159"/>
      <c r="OBW49" s="159"/>
      <c r="OBX49" s="159"/>
      <c r="OBY49" s="159"/>
      <c r="OBZ49" s="159"/>
      <c r="OCA49" s="159"/>
      <c r="OCB49" s="159"/>
      <c r="OCC49" s="159"/>
      <c r="OCD49" s="159"/>
      <c r="OCE49" s="159"/>
      <c r="OCF49" s="159"/>
      <c r="OCG49" s="159"/>
      <c r="OCH49" s="159"/>
      <c r="OCI49" s="159"/>
      <c r="OCJ49" s="159"/>
      <c r="OCK49" s="159"/>
      <c r="OCL49" s="159"/>
      <c r="OCM49" s="159"/>
      <c r="OCN49" s="159"/>
      <c r="OCO49" s="159"/>
      <c r="OCP49" s="159"/>
      <c r="OCQ49" s="159"/>
      <c r="OCR49" s="159"/>
      <c r="OCS49" s="159"/>
      <c r="OCT49" s="159"/>
      <c r="OCU49" s="159"/>
      <c r="OCV49" s="159"/>
      <c r="OCW49" s="159"/>
      <c r="OCX49" s="159"/>
      <c r="OCY49" s="159"/>
      <c r="OCZ49" s="159"/>
      <c r="ODA49" s="159"/>
      <c r="ODB49" s="159"/>
      <c r="ODC49" s="159"/>
      <c r="ODD49" s="159"/>
      <c r="ODE49" s="159"/>
      <c r="ODF49" s="159"/>
      <c r="ODG49" s="159"/>
      <c r="ODH49" s="159"/>
      <c r="ODI49" s="159"/>
      <c r="ODJ49" s="159"/>
      <c r="ODK49" s="159"/>
      <c r="ODL49" s="159"/>
      <c r="ODM49" s="159"/>
      <c r="ODN49" s="159"/>
      <c r="ODO49" s="159"/>
      <c r="ODP49" s="159"/>
      <c r="ODQ49" s="159"/>
      <c r="ODR49" s="159"/>
      <c r="ODS49" s="159"/>
      <c r="ODT49" s="159"/>
      <c r="ODU49" s="159"/>
      <c r="ODV49" s="159"/>
      <c r="ODW49" s="159"/>
      <c r="ODX49" s="159"/>
      <c r="ODY49" s="159"/>
      <c r="ODZ49" s="159"/>
      <c r="OEA49" s="159"/>
      <c r="OEB49" s="159"/>
      <c r="OEC49" s="159"/>
      <c r="OED49" s="159"/>
      <c r="OEE49" s="159"/>
      <c r="OEF49" s="159"/>
      <c r="OEG49" s="159"/>
      <c r="OEH49" s="159"/>
      <c r="OEI49" s="159"/>
      <c r="OEJ49" s="159"/>
      <c r="OEK49" s="159"/>
      <c r="OEL49" s="159"/>
      <c r="OEM49" s="159"/>
      <c r="OEN49" s="159"/>
      <c r="OEO49" s="159"/>
      <c r="OEP49" s="159"/>
      <c r="OEQ49" s="159"/>
      <c r="OER49" s="159"/>
      <c r="OES49" s="159"/>
      <c r="OET49" s="159"/>
      <c r="OEU49" s="159"/>
      <c r="OEV49" s="159"/>
      <c r="OEW49" s="159"/>
      <c r="OEX49" s="159"/>
      <c r="OEY49" s="159"/>
      <c r="OEZ49" s="159"/>
      <c r="OFA49" s="159"/>
      <c r="OFB49" s="159"/>
      <c r="OFC49" s="159"/>
      <c r="OFD49" s="159"/>
      <c r="OFE49" s="159"/>
      <c r="OFF49" s="159"/>
      <c r="OFG49" s="159"/>
      <c r="OFH49" s="159"/>
      <c r="OFI49" s="159"/>
      <c r="OFJ49" s="159"/>
      <c r="OFK49" s="159"/>
      <c r="OFL49" s="159"/>
      <c r="OFM49" s="159"/>
      <c r="OFN49" s="159"/>
      <c r="OFO49" s="159"/>
      <c r="OFP49" s="159"/>
      <c r="OFQ49" s="159"/>
      <c r="OFR49" s="159"/>
      <c r="OFS49" s="159"/>
      <c r="OFT49" s="159"/>
      <c r="OFU49" s="159"/>
      <c r="OFV49" s="159"/>
      <c r="OFW49" s="159"/>
      <c r="OFX49" s="159"/>
      <c r="OFY49" s="159"/>
      <c r="OFZ49" s="159"/>
      <c r="OGA49" s="159"/>
      <c r="OGB49" s="159"/>
      <c r="OGC49" s="159"/>
      <c r="OGD49" s="159"/>
      <c r="OGE49" s="159"/>
      <c r="OGF49" s="159"/>
      <c r="OGG49" s="159"/>
      <c r="OGH49" s="159"/>
      <c r="OGI49" s="159"/>
      <c r="OGJ49" s="159"/>
      <c r="OGK49" s="159"/>
      <c r="OGL49" s="159"/>
      <c r="OGM49" s="159"/>
      <c r="OGN49" s="159"/>
      <c r="OGO49" s="159"/>
      <c r="OGP49" s="159"/>
      <c r="OGQ49" s="159"/>
      <c r="OGR49" s="159"/>
      <c r="OGS49" s="159"/>
      <c r="OGT49" s="159"/>
      <c r="OGU49" s="159"/>
      <c r="OGV49" s="159"/>
      <c r="OGW49" s="159"/>
      <c r="OGX49" s="159"/>
      <c r="OGY49" s="159"/>
      <c r="OGZ49" s="159"/>
      <c r="OHA49" s="159"/>
      <c r="OHB49" s="159"/>
      <c r="OHC49" s="159"/>
      <c r="OHD49" s="159"/>
      <c r="OHE49" s="159"/>
      <c r="OHF49" s="159"/>
      <c r="OHG49" s="159"/>
      <c r="OHH49" s="159"/>
      <c r="OHI49" s="159"/>
      <c r="OHJ49" s="159"/>
      <c r="OHK49" s="159"/>
      <c r="OHL49" s="159"/>
      <c r="OHM49" s="159"/>
      <c r="OHN49" s="159"/>
      <c r="OHO49" s="159"/>
      <c r="OHP49" s="159"/>
      <c r="OHQ49" s="159"/>
      <c r="OHR49" s="159"/>
      <c r="OHS49" s="159"/>
      <c r="OHT49" s="159"/>
      <c r="OHU49" s="159"/>
      <c r="OHV49" s="159"/>
      <c r="OHW49" s="159"/>
      <c r="OHX49" s="159"/>
      <c r="OHY49" s="159"/>
      <c r="OHZ49" s="159"/>
      <c r="OIA49" s="159"/>
      <c r="OIB49" s="159"/>
      <c r="OIC49" s="159"/>
      <c r="OID49" s="159"/>
      <c r="OIE49" s="159"/>
      <c r="OIF49" s="159"/>
      <c r="OIG49" s="159"/>
      <c r="OIH49" s="159"/>
      <c r="OII49" s="159"/>
      <c r="OIJ49" s="159"/>
      <c r="OIK49" s="159"/>
      <c r="OIL49" s="159"/>
      <c r="OIM49" s="159"/>
      <c r="OIN49" s="159"/>
      <c r="OIO49" s="159"/>
      <c r="OIP49" s="159"/>
      <c r="OIQ49" s="159"/>
      <c r="OIR49" s="159"/>
      <c r="OIS49" s="159"/>
      <c r="OIT49" s="159"/>
      <c r="OIU49" s="159"/>
      <c r="OIV49" s="159"/>
      <c r="OIW49" s="159"/>
      <c r="OIX49" s="159"/>
      <c r="OIY49" s="159"/>
      <c r="OIZ49" s="159"/>
      <c r="OJA49" s="159"/>
      <c r="OJB49" s="159"/>
      <c r="OJC49" s="159"/>
      <c r="OJD49" s="159"/>
      <c r="OJE49" s="159"/>
      <c r="OJF49" s="159"/>
      <c r="OJG49" s="159"/>
      <c r="OJH49" s="159"/>
      <c r="OJI49" s="159"/>
      <c r="OJJ49" s="159"/>
      <c r="OJK49" s="159"/>
      <c r="OJL49" s="159"/>
      <c r="OJM49" s="159"/>
      <c r="OJN49" s="159"/>
      <c r="OJO49" s="159"/>
      <c r="OJP49" s="159"/>
      <c r="OJQ49" s="159"/>
      <c r="OJR49" s="159"/>
      <c r="OJS49" s="159"/>
      <c r="OJT49" s="159"/>
      <c r="OJU49" s="159"/>
      <c r="OJV49" s="159"/>
      <c r="OJW49" s="159"/>
      <c r="OJX49" s="159"/>
      <c r="OJY49" s="159"/>
      <c r="OJZ49" s="159"/>
      <c r="OKA49" s="159"/>
      <c r="OKB49" s="159"/>
      <c r="OKC49" s="159"/>
      <c r="OKD49" s="159"/>
      <c r="OKE49" s="159"/>
      <c r="OKF49" s="159"/>
      <c r="OKG49" s="159"/>
      <c r="OKH49" s="159"/>
      <c r="OKI49" s="159"/>
      <c r="OKJ49" s="159"/>
      <c r="OKK49" s="159"/>
      <c r="OKL49" s="159"/>
      <c r="OKM49" s="159"/>
      <c r="OKN49" s="159"/>
      <c r="OKO49" s="159"/>
      <c r="OKP49" s="159"/>
      <c r="OKQ49" s="159"/>
      <c r="OKR49" s="159"/>
      <c r="OKS49" s="159"/>
      <c r="OKT49" s="159"/>
      <c r="OKU49" s="159"/>
      <c r="OKV49" s="159"/>
      <c r="OKW49" s="159"/>
      <c r="OKX49" s="159"/>
      <c r="OKY49" s="159"/>
      <c r="OKZ49" s="159"/>
      <c r="OLA49" s="159"/>
      <c r="OLB49" s="159"/>
      <c r="OLC49" s="159"/>
      <c r="OLD49" s="159"/>
      <c r="OLE49" s="159"/>
      <c r="OLF49" s="159"/>
      <c r="OLG49" s="159"/>
      <c r="OLH49" s="159"/>
      <c r="OLI49" s="159"/>
      <c r="OLJ49" s="159"/>
      <c r="OLK49" s="159"/>
      <c r="OLL49" s="159"/>
      <c r="OLM49" s="159"/>
      <c r="OLN49" s="159"/>
      <c r="OLO49" s="159"/>
      <c r="OLP49" s="159"/>
      <c r="OLQ49" s="159"/>
      <c r="OLR49" s="159"/>
      <c r="OLS49" s="159"/>
      <c r="OLT49" s="159"/>
      <c r="OLU49" s="159"/>
      <c r="OLV49" s="159"/>
      <c r="OLW49" s="159"/>
      <c r="OLX49" s="159"/>
      <c r="OLY49" s="159"/>
      <c r="OLZ49" s="159"/>
      <c r="OMA49" s="159"/>
      <c r="OMB49" s="159"/>
      <c r="OMC49" s="159"/>
      <c r="OMD49" s="159"/>
      <c r="OME49" s="159"/>
      <c r="OMF49" s="159"/>
      <c r="OMG49" s="159"/>
      <c r="OMH49" s="159"/>
      <c r="OMI49" s="159"/>
      <c r="OMJ49" s="159"/>
      <c r="OMK49" s="159"/>
      <c r="OML49" s="159"/>
      <c r="OMM49" s="159"/>
      <c r="OMN49" s="159"/>
      <c r="OMO49" s="159"/>
      <c r="OMP49" s="159"/>
      <c r="OMQ49" s="159"/>
      <c r="OMR49" s="159"/>
      <c r="OMS49" s="159"/>
      <c r="OMT49" s="159"/>
      <c r="OMU49" s="159"/>
      <c r="OMV49" s="159"/>
      <c r="OMW49" s="159"/>
      <c r="OMX49" s="159"/>
      <c r="OMY49" s="159"/>
      <c r="OMZ49" s="159"/>
      <c r="ONA49" s="159"/>
      <c r="ONB49" s="159"/>
      <c r="ONC49" s="159"/>
      <c r="OND49" s="159"/>
      <c r="ONE49" s="159"/>
      <c r="ONF49" s="159"/>
      <c r="ONG49" s="159"/>
      <c r="ONH49" s="159"/>
      <c r="ONI49" s="159"/>
      <c r="ONJ49" s="159"/>
      <c r="ONK49" s="159"/>
      <c r="ONL49" s="159"/>
      <c r="ONM49" s="159"/>
      <c r="ONN49" s="159"/>
      <c r="ONO49" s="159"/>
      <c r="ONP49" s="159"/>
      <c r="ONQ49" s="159"/>
      <c r="ONR49" s="159"/>
      <c r="ONS49" s="159"/>
      <c r="ONT49" s="159"/>
      <c r="ONU49" s="159"/>
      <c r="ONV49" s="159"/>
      <c r="ONW49" s="159"/>
      <c r="ONX49" s="159"/>
      <c r="ONY49" s="159"/>
      <c r="ONZ49" s="159"/>
      <c r="OOA49" s="159"/>
      <c r="OOB49" s="159"/>
      <c r="OOC49" s="159"/>
      <c r="OOD49" s="159"/>
      <c r="OOE49" s="159"/>
      <c r="OOF49" s="159"/>
      <c r="OOG49" s="159"/>
      <c r="OOH49" s="159"/>
      <c r="OOI49" s="159"/>
      <c r="OOJ49" s="159"/>
      <c r="OOK49" s="159"/>
      <c r="OOL49" s="159"/>
      <c r="OOM49" s="159"/>
      <c r="OON49" s="159"/>
      <c r="OOO49" s="159"/>
      <c r="OOP49" s="159"/>
      <c r="OOQ49" s="159"/>
      <c r="OOR49" s="159"/>
      <c r="OOS49" s="159"/>
      <c r="OOT49" s="159"/>
      <c r="OOU49" s="159"/>
      <c r="OOV49" s="159"/>
      <c r="OOW49" s="159"/>
      <c r="OOX49" s="159"/>
      <c r="OOY49" s="159"/>
      <c r="OOZ49" s="159"/>
      <c r="OPA49" s="159"/>
      <c r="OPB49" s="159"/>
      <c r="OPC49" s="159"/>
      <c r="OPD49" s="159"/>
      <c r="OPE49" s="159"/>
      <c r="OPF49" s="159"/>
      <c r="OPG49" s="159"/>
      <c r="OPH49" s="159"/>
      <c r="OPI49" s="159"/>
      <c r="OPJ49" s="159"/>
      <c r="OPK49" s="159"/>
      <c r="OPL49" s="159"/>
      <c r="OPM49" s="159"/>
      <c r="OPN49" s="159"/>
      <c r="OPO49" s="159"/>
      <c r="OPP49" s="159"/>
      <c r="OPQ49" s="159"/>
      <c r="OPR49" s="159"/>
      <c r="OPS49" s="159"/>
      <c r="OPT49" s="159"/>
      <c r="OPU49" s="159"/>
      <c r="OPV49" s="159"/>
      <c r="OPW49" s="159"/>
      <c r="OPX49" s="159"/>
      <c r="OPY49" s="159"/>
      <c r="OPZ49" s="159"/>
      <c r="OQA49" s="159"/>
      <c r="OQB49" s="159"/>
      <c r="OQC49" s="159"/>
      <c r="OQD49" s="159"/>
      <c r="OQE49" s="159"/>
      <c r="OQF49" s="159"/>
      <c r="OQG49" s="159"/>
      <c r="OQH49" s="159"/>
      <c r="OQI49" s="159"/>
      <c r="OQJ49" s="159"/>
      <c r="OQK49" s="159"/>
      <c r="OQL49" s="159"/>
      <c r="OQM49" s="159"/>
      <c r="OQN49" s="159"/>
      <c r="OQO49" s="159"/>
      <c r="OQP49" s="159"/>
      <c r="OQQ49" s="159"/>
      <c r="OQR49" s="159"/>
      <c r="OQS49" s="159"/>
      <c r="OQT49" s="159"/>
      <c r="OQU49" s="159"/>
      <c r="OQV49" s="159"/>
      <c r="OQW49" s="159"/>
      <c r="OQX49" s="159"/>
      <c r="OQY49" s="159"/>
      <c r="OQZ49" s="159"/>
      <c r="ORA49" s="159"/>
      <c r="ORB49" s="159"/>
      <c r="ORC49" s="159"/>
      <c r="ORD49" s="159"/>
      <c r="ORE49" s="159"/>
      <c r="ORF49" s="159"/>
      <c r="ORG49" s="159"/>
      <c r="ORH49" s="159"/>
      <c r="ORI49" s="159"/>
      <c r="ORJ49" s="159"/>
      <c r="ORK49" s="159"/>
      <c r="ORL49" s="159"/>
      <c r="ORM49" s="159"/>
      <c r="ORN49" s="159"/>
      <c r="ORO49" s="159"/>
      <c r="ORP49" s="159"/>
      <c r="ORQ49" s="159"/>
      <c r="ORR49" s="159"/>
      <c r="ORS49" s="159"/>
      <c r="ORT49" s="159"/>
      <c r="ORU49" s="159"/>
      <c r="ORV49" s="159"/>
      <c r="ORW49" s="159"/>
      <c r="ORX49" s="159"/>
      <c r="ORY49" s="159"/>
      <c r="ORZ49" s="159"/>
      <c r="OSA49" s="159"/>
      <c r="OSB49" s="159"/>
      <c r="OSC49" s="159"/>
      <c r="OSD49" s="159"/>
      <c r="OSE49" s="159"/>
      <c r="OSF49" s="159"/>
      <c r="OSG49" s="159"/>
      <c r="OSH49" s="159"/>
      <c r="OSI49" s="159"/>
      <c r="OSJ49" s="159"/>
      <c r="OSK49" s="159"/>
      <c r="OSL49" s="159"/>
      <c r="OSM49" s="159"/>
      <c r="OSN49" s="159"/>
      <c r="OSO49" s="159"/>
      <c r="OSP49" s="159"/>
      <c r="OSQ49" s="159"/>
      <c r="OSR49" s="159"/>
      <c r="OSS49" s="159"/>
      <c r="OST49" s="159"/>
      <c r="OSU49" s="159"/>
      <c r="OSV49" s="159"/>
      <c r="OSW49" s="159"/>
      <c r="OSX49" s="159"/>
      <c r="OSY49" s="159"/>
      <c r="OSZ49" s="159"/>
      <c r="OTA49" s="159"/>
      <c r="OTB49" s="159"/>
      <c r="OTC49" s="159"/>
      <c r="OTD49" s="159"/>
      <c r="OTE49" s="159"/>
      <c r="OTF49" s="159"/>
      <c r="OTG49" s="159"/>
      <c r="OTH49" s="159"/>
      <c r="OTI49" s="159"/>
      <c r="OTJ49" s="159"/>
      <c r="OTK49" s="159"/>
      <c r="OTL49" s="159"/>
      <c r="OTM49" s="159"/>
      <c r="OTN49" s="159"/>
      <c r="OTO49" s="159"/>
      <c r="OTP49" s="159"/>
      <c r="OTQ49" s="159"/>
      <c r="OTR49" s="159"/>
      <c r="OTS49" s="159"/>
      <c r="OTT49" s="159"/>
      <c r="OTU49" s="159"/>
      <c r="OTV49" s="159"/>
      <c r="OTW49" s="159"/>
      <c r="OTX49" s="159"/>
      <c r="OTY49" s="159"/>
      <c r="OTZ49" s="159"/>
      <c r="OUA49" s="159"/>
      <c r="OUB49" s="159"/>
      <c r="OUC49" s="159"/>
      <c r="OUD49" s="159"/>
      <c r="OUE49" s="159"/>
      <c r="OUF49" s="159"/>
      <c r="OUG49" s="159"/>
      <c r="OUH49" s="159"/>
      <c r="OUI49" s="159"/>
      <c r="OUJ49" s="159"/>
      <c r="OUK49" s="159"/>
      <c r="OUL49" s="159"/>
      <c r="OUM49" s="159"/>
      <c r="OUN49" s="159"/>
      <c r="OUO49" s="159"/>
      <c r="OUP49" s="159"/>
      <c r="OUQ49" s="159"/>
      <c r="OUR49" s="159"/>
      <c r="OUS49" s="159"/>
      <c r="OUT49" s="159"/>
      <c r="OUU49" s="159"/>
      <c r="OUV49" s="159"/>
      <c r="OUW49" s="159"/>
      <c r="OUX49" s="159"/>
      <c r="OUY49" s="159"/>
      <c r="OUZ49" s="159"/>
      <c r="OVA49" s="159"/>
      <c r="OVB49" s="159"/>
      <c r="OVC49" s="159"/>
      <c r="OVD49" s="159"/>
      <c r="OVE49" s="159"/>
      <c r="OVF49" s="159"/>
      <c r="OVG49" s="159"/>
      <c r="OVH49" s="159"/>
      <c r="OVI49" s="159"/>
      <c r="OVJ49" s="159"/>
      <c r="OVK49" s="159"/>
      <c r="OVL49" s="159"/>
      <c r="OVM49" s="159"/>
      <c r="OVN49" s="159"/>
      <c r="OVO49" s="159"/>
      <c r="OVP49" s="159"/>
      <c r="OVQ49" s="159"/>
      <c r="OVR49" s="159"/>
      <c r="OVS49" s="159"/>
      <c r="OVT49" s="159"/>
      <c r="OVU49" s="159"/>
      <c r="OVV49" s="159"/>
      <c r="OVW49" s="159"/>
      <c r="OVX49" s="159"/>
      <c r="OVY49" s="159"/>
      <c r="OVZ49" s="159"/>
      <c r="OWA49" s="159"/>
      <c r="OWB49" s="159"/>
      <c r="OWC49" s="159"/>
      <c r="OWD49" s="159"/>
      <c r="OWE49" s="159"/>
      <c r="OWF49" s="159"/>
      <c r="OWG49" s="159"/>
      <c r="OWH49" s="159"/>
      <c r="OWI49" s="159"/>
      <c r="OWJ49" s="159"/>
      <c r="OWK49" s="159"/>
      <c r="OWL49" s="159"/>
      <c r="OWM49" s="159"/>
      <c r="OWN49" s="159"/>
      <c r="OWO49" s="159"/>
      <c r="OWP49" s="159"/>
      <c r="OWQ49" s="159"/>
      <c r="OWR49" s="159"/>
      <c r="OWS49" s="159"/>
      <c r="OWT49" s="159"/>
      <c r="OWU49" s="159"/>
      <c r="OWV49" s="159"/>
      <c r="OWW49" s="159"/>
      <c r="OWX49" s="159"/>
      <c r="OWY49" s="159"/>
      <c r="OWZ49" s="159"/>
      <c r="OXA49" s="159"/>
      <c r="OXB49" s="159"/>
      <c r="OXC49" s="159"/>
      <c r="OXD49" s="159"/>
      <c r="OXE49" s="159"/>
      <c r="OXF49" s="159"/>
      <c r="OXG49" s="159"/>
      <c r="OXH49" s="159"/>
      <c r="OXI49" s="159"/>
      <c r="OXJ49" s="159"/>
      <c r="OXK49" s="159"/>
      <c r="OXL49" s="159"/>
      <c r="OXM49" s="159"/>
      <c r="OXN49" s="159"/>
      <c r="OXO49" s="159"/>
      <c r="OXP49" s="159"/>
      <c r="OXQ49" s="159"/>
      <c r="OXR49" s="159"/>
      <c r="OXS49" s="159"/>
      <c r="OXT49" s="159"/>
      <c r="OXU49" s="159"/>
      <c r="OXV49" s="159"/>
      <c r="OXW49" s="159"/>
      <c r="OXX49" s="159"/>
      <c r="OXY49" s="159"/>
      <c r="OXZ49" s="159"/>
      <c r="OYA49" s="159"/>
      <c r="OYB49" s="159"/>
      <c r="OYC49" s="159"/>
      <c r="OYD49" s="159"/>
      <c r="OYE49" s="159"/>
      <c r="OYF49" s="159"/>
      <c r="OYG49" s="159"/>
      <c r="OYH49" s="159"/>
      <c r="OYI49" s="159"/>
      <c r="OYJ49" s="159"/>
      <c r="OYK49" s="159"/>
      <c r="OYL49" s="159"/>
      <c r="OYM49" s="159"/>
      <c r="OYN49" s="159"/>
      <c r="OYO49" s="159"/>
      <c r="OYP49" s="159"/>
      <c r="OYQ49" s="159"/>
      <c r="OYR49" s="159"/>
      <c r="OYS49" s="159"/>
      <c r="OYT49" s="159"/>
      <c r="OYU49" s="159"/>
      <c r="OYV49" s="159"/>
      <c r="OYW49" s="159"/>
      <c r="OYX49" s="159"/>
      <c r="OYY49" s="159"/>
      <c r="OYZ49" s="159"/>
      <c r="OZA49" s="159"/>
      <c r="OZB49" s="159"/>
      <c r="OZC49" s="159"/>
      <c r="OZD49" s="159"/>
      <c r="OZE49" s="159"/>
      <c r="OZF49" s="159"/>
      <c r="OZG49" s="159"/>
      <c r="OZH49" s="159"/>
      <c r="OZI49" s="159"/>
      <c r="OZJ49" s="159"/>
      <c r="OZK49" s="159"/>
      <c r="OZL49" s="159"/>
      <c r="OZM49" s="159"/>
      <c r="OZN49" s="159"/>
      <c r="OZO49" s="159"/>
      <c r="OZP49" s="159"/>
      <c r="OZQ49" s="159"/>
      <c r="OZR49" s="159"/>
      <c r="OZS49" s="159"/>
      <c r="OZT49" s="159"/>
      <c r="OZU49" s="159"/>
      <c r="OZV49" s="159"/>
      <c r="OZW49" s="159"/>
      <c r="OZX49" s="159"/>
      <c r="OZY49" s="159"/>
      <c r="OZZ49" s="159"/>
      <c r="PAA49" s="159"/>
      <c r="PAB49" s="159"/>
      <c r="PAC49" s="159"/>
      <c r="PAD49" s="159"/>
      <c r="PAE49" s="159"/>
      <c r="PAF49" s="159"/>
      <c r="PAG49" s="159"/>
      <c r="PAH49" s="159"/>
      <c r="PAI49" s="159"/>
      <c r="PAJ49" s="159"/>
      <c r="PAK49" s="159"/>
      <c r="PAL49" s="159"/>
      <c r="PAM49" s="159"/>
      <c r="PAN49" s="159"/>
      <c r="PAO49" s="159"/>
      <c r="PAP49" s="159"/>
      <c r="PAQ49" s="159"/>
      <c r="PAR49" s="159"/>
      <c r="PAS49" s="159"/>
      <c r="PAT49" s="159"/>
      <c r="PAU49" s="159"/>
      <c r="PAV49" s="159"/>
      <c r="PAW49" s="159"/>
      <c r="PAX49" s="159"/>
      <c r="PAY49" s="159"/>
      <c r="PAZ49" s="159"/>
      <c r="PBA49" s="159"/>
      <c r="PBB49" s="159"/>
      <c r="PBC49" s="159"/>
      <c r="PBD49" s="159"/>
      <c r="PBE49" s="159"/>
      <c r="PBF49" s="159"/>
      <c r="PBG49" s="159"/>
      <c r="PBH49" s="159"/>
      <c r="PBI49" s="159"/>
      <c r="PBJ49" s="159"/>
      <c r="PBK49" s="159"/>
      <c r="PBL49" s="159"/>
      <c r="PBM49" s="159"/>
      <c r="PBN49" s="159"/>
      <c r="PBO49" s="159"/>
      <c r="PBP49" s="159"/>
      <c r="PBQ49" s="159"/>
      <c r="PBR49" s="159"/>
      <c r="PBS49" s="159"/>
      <c r="PBT49" s="159"/>
      <c r="PBU49" s="159"/>
      <c r="PBV49" s="159"/>
      <c r="PBW49" s="159"/>
      <c r="PBX49" s="159"/>
      <c r="PBY49" s="159"/>
      <c r="PBZ49" s="159"/>
      <c r="PCA49" s="159"/>
      <c r="PCB49" s="159"/>
      <c r="PCC49" s="159"/>
      <c r="PCD49" s="159"/>
      <c r="PCE49" s="159"/>
      <c r="PCF49" s="159"/>
      <c r="PCG49" s="159"/>
      <c r="PCH49" s="159"/>
      <c r="PCI49" s="159"/>
      <c r="PCJ49" s="159"/>
      <c r="PCK49" s="159"/>
      <c r="PCL49" s="159"/>
      <c r="PCM49" s="159"/>
      <c r="PCN49" s="159"/>
      <c r="PCO49" s="159"/>
      <c r="PCP49" s="159"/>
      <c r="PCQ49" s="159"/>
      <c r="PCR49" s="159"/>
      <c r="PCS49" s="159"/>
      <c r="PCT49" s="159"/>
      <c r="PCU49" s="159"/>
      <c r="PCV49" s="159"/>
      <c r="PCW49" s="159"/>
      <c r="PCX49" s="159"/>
      <c r="PCY49" s="159"/>
      <c r="PCZ49" s="159"/>
      <c r="PDA49" s="159"/>
      <c r="PDB49" s="159"/>
      <c r="PDC49" s="159"/>
      <c r="PDD49" s="159"/>
      <c r="PDE49" s="159"/>
      <c r="PDF49" s="159"/>
      <c r="PDG49" s="159"/>
      <c r="PDH49" s="159"/>
      <c r="PDI49" s="159"/>
      <c r="PDJ49" s="159"/>
      <c r="PDK49" s="159"/>
      <c r="PDL49" s="159"/>
      <c r="PDM49" s="159"/>
      <c r="PDN49" s="159"/>
      <c r="PDO49" s="159"/>
      <c r="PDP49" s="159"/>
      <c r="PDQ49" s="159"/>
      <c r="PDR49" s="159"/>
      <c r="PDS49" s="159"/>
      <c r="PDT49" s="159"/>
      <c r="PDU49" s="159"/>
      <c r="PDV49" s="159"/>
      <c r="PDW49" s="159"/>
      <c r="PDX49" s="159"/>
      <c r="PDY49" s="159"/>
      <c r="PDZ49" s="159"/>
      <c r="PEA49" s="159"/>
      <c r="PEB49" s="159"/>
      <c r="PEC49" s="159"/>
      <c r="PED49" s="159"/>
      <c r="PEE49" s="159"/>
      <c r="PEF49" s="159"/>
      <c r="PEG49" s="159"/>
      <c r="PEH49" s="159"/>
      <c r="PEI49" s="159"/>
      <c r="PEJ49" s="159"/>
      <c r="PEK49" s="159"/>
      <c r="PEL49" s="159"/>
      <c r="PEM49" s="159"/>
      <c r="PEN49" s="159"/>
      <c r="PEO49" s="159"/>
      <c r="PEP49" s="159"/>
      <c r="PEQ49" s="159"/>
      <c r="PER49" s="159"/>
      <c r="PES49" s="159"/>
      <c r="PET49" s="159"/>
      <c r="PEU49" s="159"/>
      <c r="PEV49" s="159"/>
      <c r="PEW49" s="159"/>
      <c r="PEX49" s="159"/>
      <c r="PEY49" s="159"/>
      <c r="PEZ49" s="159"/>
      <c r="PFA49" s="159"/>
      <c r="PFB49" s="159"/>
      <c r="PFC49" s="159"/>
      <c r="PFD49" s="159"/>
      <c r="PFE49" s="159"/>
      <c r="PFF49" s="159"/>
      <c r="PFG49" s="159"/>
      <c r="PFH49" s="159"/>
      <c r="PFI49" s="159"/>
      <c r="PFJ49" s="159"/>
      <c r="PFK49" s="159"/>
      <c r="PFL49" s="159"/>
      <c r="PFM49" s="159"/>
      <c r="PFN49" s="159"/>
      <c r="PFO49" s="159"/>
      <c r="PFP49" s="159"/>
      <c r="PFQ49" s="159"/>
      <c r="PFR49" s="159"/>
      <c r="PFS49" s="159"/>
      <c r="PFT49" s="159"/>
      <c r="PFU49" s="159"/>
      <c r="PFV49" s="159"/>
      <c r="PFW49" s="159"/>
      <c r="PFX49" s="159"/>
      <c r="PFY49" s="159"/>
      <c r="PFZ49" s="159"/>
      <c r="PGA49" s="159"/>
      <c r="PGB49" s="159"/>
      <c r="PGC49" s="159"/>
      <c r="PGD49" s="159"/>
      <c r="PGE49" s="159"/>
      <c r="PGF49" s="159"/>
      <c r="PGG49" s="159"/>
      <c r="PGH49" s="159"/>
      <c r="PGI49" s="159"/>
      <c r="PGJ49" s="159"/>
      <c r="PGK49" s="159"/>
      <c r="PGL49" s="159"/>
      <c r="PGM49" s="159"/>
      <c r="PGN49" s="159"/>
      <c r="PGO49" s="159"/>
      <c r="PGP49" s="159"/>
      <c r="PGQ49" s="159"/>
      <c r="PGR49" s="159"/>
      <c r="PGS49" s="159"/>
      <c r="PGT49" s="159"/>
      <c r="PGU49" s="159"/>
      <c r="PGV49" s="159"/>
      <c r="PGW49" s="159"/>
      <c r="PGX49" s="159"/>
      <c r="PGY49" s="159"/>
      <c r="PGZ49" s="159"/>
      <c r="PHA49" s="159"/>
      <c r="PHB49" s="159"/>
      <c r="PHC49" s="159"/>
      <c r="PHD49" s="159"/>
      <c r="PHE49" s="159"/>
      <c r="PHF49" s="159"/>
      <c r="PHG49" s="159"/>
      <c r="PHH49" s="159"/>
      <c r="PHI49" s="159"/>
      <c r="PHJ49" s="159"/>
      <c r="PHK49" s="159"/>
      <c r="PHL49" s="159"/>
      <c r="PHM49" s="159"/>
      <c r="PHN49" s="159"/>
      <c r="PHO49" s="159"/>
      <c r="PHP49" s="159"/>
      <c r="PHQ49" s="159"/>
      <c r="PHR49" s="159"/>
      <c r="PHS49" s="159"/>
      <c r="PHT49" s="159"/>
      <c r="PHU49" s="159"/>
      <c r="PHV49" s="159"/>
      <c r="PHW49" s="159"/>
      <c r="PHX49" s="159"/>
      <c r="PHY49" s="159"/>
      <c r="PHZ49" s="159"/>
      <c r="PIA49" s="159"/>
      <c r="PIB49" s="159"/>
      <c r="PIC49" s="159"/>
      <c r="PID49" s="159"/>
      <c r="PIE49" s="159"/>
      <c r="PIF49" s="159"/>
      <c r="PIG49" s="159"/>
      <c r="PIH49" s="159"/>
      <c r="PII49" s="159"/>
      <c r="PIJ49" s="159"/>
      <c r="PIK49" s="159"/>
      <c r="PIL49" s="159"/>
      <c r="PIM49" s="159"/>
      <c r="PIN49" s="159"/>
      <c r="PIO49" s="159"/>
      <c r="PIP49" s="159"/>
      <c r="PIQ49" s="159"/>
      <c r="PIR49" s="159"/>
      <c r="PIS49" s="159"/>
      <c r="PIT49" s="159"/>
      <c r="PIU49" s="159"/>
      <c r="PIV49" s="159"/>
      <c r="PIW49" s="159"/>
      <c r="PIX49" s="159"/>
      <c r="PIY49" s="159"/>
      <c r="PIZ49" s="159"/>
      <c r="PJA49" s="159"/>
      <c r="PJB49" s="159"/>
      <c r="PJC49" s="159"/>
      <c r="PJD49" s="159"/>
      <c r="PJE49" s="159"/>
      <c r="PJF49" s="159"/>
      <c r="PJG49" s="159"/>
      <c r="PJH49" s="159"/>
      <c r="PJI49" s="159"/>
      <c r="PJJ49" s="159"/>
      <c r="PJK49" s="159"/>
      <c r="PJL49" s="159"/>
      <c r="PJM49" s="159"/>
      <c r="PJN49" s="159"/>
      <c r="PJO49" s="159"/>
      <c r="PJP49" s="159"/>
      <c r="PJQ49" s="159"/>
      <c r="PJR49" s="159"/>
      <c r="PJS49" s="159"/>
      <c r="PJT49" s="159"/>
      <c r="PJU49" s="159"/>
      <c r="PJV49" s="159"/>
      <c r="PJW49" s="159"/>
      <c r="PJX49" s="159"/>
      <c r="PJY49" s="159"/>
      <c r="PJZ49" s="159"/>
      <c r="PKA49" s="159"/>
      <c r="PKB49" s="159"/>
      <c r="PKC49" s="159"/>
      <c r="PKD49" s="159"/>
      <c r="PKE49" s="159"/>
      <c r="PKF49" s="159"/>
      <c r="PKG49" s="159"/>
      <c r="PKH49" s="159"/>
      <c r="PKI49" s="159"/>
      <c r="PKJ49" s="159"/>
      <c r="PKK49" s="159"/>
      <c r="PKL49" s="159"/>
      <c r="PKM49" s="159"/>
      <c r="PKN49" s="159"/>
      <c r="PKO49" s="159"/>
      <c r="PKP49" s="159"/>
      <c r="PKQ49" s="159"/>
      <c r="PKR49" s="159"/>
      <c r="PKS49" s="159"/>
      <c r="PKT49" s="159"/>
      <c r="PKU49" s="159"/>
      <c r="PKV49" s="159"/>
      <c r="PKW49" s="159"/>
      <c r="PKX49" s="159"/>
      <c r="PKY49" s="159"/>
      <c r="PKZ49" s="159"/>
      <c r="PLA49" s="159"/>
      <c r="PLB49" s="159"/>
      <c r="PLC49" s="159"/>
      <c r="PLD49" s="159"/>
      <c r="PLE49" s="159"/>
      <c r="PLF49" s="159"/>
      <c r="PLG49" s="159"/>
      <c r="PLH49" s="159"/>
      <c r="PLI49" s="159"/>
      <c r="PLJ49" s="159"/>
      <c r="PLK49" s="159"/>
      <c r="PLL49" s="159"/>
      <c r="PLM49" s="159"/>
      <c r="PLN49" s="159"/>
      <c r="PLO49" s="159"/>
      <c r="PLP49" s="159"/>
      <c r="PLQ49" s="159"/>
      <c r="PLR49" s="159"/>
      <c r="PLS49" s="159"/>
      <c r="PLT49" s="159"/>
      <c r="PLU49" s="159"/>
      <c r="PLV49" s="159"/>
      <c r="PLW49" s="159"/>
      <c r="PLX49" s="159"/>
      <c r="PLY49" s="159"/>
      <c r="PLZ49" s="159"/>
      <c r="PMA49" s="159"/>
      <c r="PMB49" s="159"/>
      <c r="PMC49" s="159"/>
      <c r="PMD49" s="159"/>
      <c r="PME49" s="159"/>
      <c r="PMF49" s="159"/>
      <c r="PMG49" s="159"/>
      <c r="PMH49" s="159"/>
      <c r="PMI49" s="159"/>
      <c r="PMJ49" s="159"/>
      <c r="PMK49" s="159"/>
      <c r="PML49" s="159"/>
      <c r="PMM49" s="159"/>
      <c r="PMN49" s="159"/>
      <c r="PMO49" s="159"/>
      <c r="PMP49" s="159"/>
      <c r="PMQ49" s="159"/>
      <c r="PMR49" s="159"/>
      <c r="PMS49" s="159"/>
      <c r="PMT49" s="159"/>
      <c r="PMU49" s="159"/>
      <c r="PMV49" s="159"/>
      <c r="PMW49" s="159"/>
      <c r="PMX49" s="159"/>
      <c r="PMY49" s="159"/>
      <c r="PMZ49" s="159"/>
      <c r="PNA49" s="159"/>
      <c r="PNB49" s="159"/>
      <c r="PNC49" s="159"/>
      <c r="PND49" s="159"/>
      <c r="PNE49" s="159"/>
      <c r="PNF49" s="159"/>
      <c r="PNG49" s="159"/>
      <c r="PNH49" s="159"/>
      <c r="PNI49" s="159"/>
      <c r="PNJ49" s="159"/>
      <c r="PNK49" s="159"/>
      <c r="PNL49" s="159"/>
      <c r="PNM49" s="159"/>
      <c r="PNN49" s="159"/>
      <c r="PNO49" s="159"/>
      <c r="PNP49" s="159"/>
      <c r="PNQ49" s="159"/>
      <c r="PNR49" s="159"/>
      <c r="PNS49" s="159"/>
      <c r="PNT49" s="159"/>
      <c r="PNU49" s="159"/>
      <c r="PNV49" s="159"/>
      <c r="PNW49" s="159"/>
      <c r="PNX49" s="159"/>
      <c r="PNY49" s="159"/>
      <c r="PNZ49" s="159"/>
      <c r="POA49" s="159"/>
      <c r="POB49" s="159"/>
      <c r="POC49" s="159"/>
      <c r="POD49" s="159"/>
      <c r="POE49" s="159"/>
      <c r="POF49" s="159"/>
      <c r="POG49" s="159"/>
      <c r="POH49" s="159"/>
      <c r="POI49" s="159"/>
      <c r="POJ49" s="159"/>
      <c r="POK49" s="159"/>
      <c r="POL49" s="159"/>
      <c r="POM49" s="159"/>
      <c r="PON49" s="159"/>
      <c r="POO49" s="159"/>
      <c r="POP49" s="159"/>
      <c r="POQ49" s="159"/>
      <c r="POR49" s="159"/>
      <c r="POS49" s="159"/>
      <c r="POT49" s="159"/>
      <c r="POU49" s="159"/>
      <c r="POV49" s="159"/>
      <c r="POW49" s="159"/>
      <c r="POX49" s="159"/>
      <c r="POY49" s="159"/>
      <c r="POZ49" s="159"/>
      <c r="PPA49" s="159"/>
      <c r="PPB49" s="159"/>
      <c r="PPC49" s="159"/>
      <c r="PPD49" s="159"/>
      <c r="PPE49" s="159"/>
      <c r="PPF49" s="159"/>
      <c r="PPG49" s="159"/>
      <c r="PPH49" s="159"/>
      <c r="PPI49" s="159"/>
      <c r="PPJ49" s="159"/>
      <c r="PPK49" s="159"/>
      <c r="PPL49" s="159"/>
      <c r="PPM49" s="159"/>
      <c r="PPN49" s="159"/>
      <c r="PPO49" s="159"/>
      <c r="PPP49" s="159"/>
      <c r="PPQ49" s="159"/>
      <c r="PPR49" s="159"/>
      <c r="PPS49" s="159"/>
      <c r="PPT49" s="159"/>
      <c r="PPU49" s="159"/>
      <c r="PPV49" s="159"/>
      <c r="PPW49" s="159"/>
      <c r="PPX49" s="159"/>
      <c r="PPY49" s="159"/>
      <c r="PPZ49" s="159"/>
      <c r="PQA49" s="159"/>
      <c r="PQB49" s="159"/>
      <c r="PQC49" s="159"/>
      <c r="PQD49" s="159"/>
      <c r="PQE49" s="159"/>
      <c r="PQF49" s="159"/>
      <c r="PQG49" s="159"/>
      <c r="PQH49" s="159"/>
      <c r="PQI49" s="159"/>
      <c r="PQJ49" s="159"/>
      <c r="PQK49" s="159"/>
      <c r="PQL49" s="159"/>
      <c r="PQM49" s="159"/>
      <c r="PQN49" s="159"/>
      <c r="PQO49" s="159"/>
      <c r="PQP49" s="159"/>
      <c r="PQQ49" s="159"/>
      <c r="PQR49" s="159"/>
      <c r="PQS49" s="159"/>
      <c r="PQT49" s="159"/>
      <c r="PQU49" s="159"/>
      <c r="PQV49" s="159"/>
      <c r="PQW49" s="159"/>
      <c r="PQX49" s="159"/>
      <c r="PQY49" s="159"/>
      <c r="PQZ49" s="159"/>
      <c r="PRA49" s="159"/>
      <c r="PRB49" s="159"/>
      <c r="PRC49" s="159"/>
      <c r="PRD49" s="159"/>
      <c r="PRE49" s="159"/>
      <c r="PRF49" s="159"/>
      <c r="PRG49" s="159"/>
      <c r="PRH49" s="159"/>
      <c r="PRI49" s="159"/>
      <c r="PRJ49" s="159"/>
      <c r="PRK49" s="159"/>
      <c r="PRL49" s="159"/>
      <c r="PRM49" s="159"/>
      <c r="PRN49" s="159"/>
      <c r="PRO49" s="159"/>
      <c r="PRP49" s="159"/>
      <c r="PRQ49" s="159"/>
      <c r="PRR49" s="159"/>
      <c r="PRS49" s="159"/>
      <c r="PRT49" s="159"/>
      <c r="PRU49" s="159"/>
      <c r="PRV49" s="159"/>
      <c r="PRW49" s="159"/>
      <c r="PRX49" s="159"/>
      <c r="PRY49" s="159"/>
      <c r="PRZ49" s="159"/>
      <c r="PSA49" s="159"/>
      <c r="PSB49" s="159"/>
      <c r="PSC49" s="159"/>
      <c r="PSD49" s="159"/>
      <c r="PSE49" s="159"/>
      <c r="PSF49" s="159"/>
      <c r="PSG49" s="159"/>
      <c r="PSH49" s="159"/>
      <c r="PSI49" s="159"/>
      <c r="PSJ49" s="159"/>
      <c r="PSK49" s="159"/>
      <c r="PSL49" s="159"/>
      <c r="PSM49" s="159"/>
      <c r="PSN49" s="159"/>
      <c r="PSO49" s="159"/>
      <c r="PSP49" s="159"/>
      <c r="PSQ49" s="159"/>
      <c r="PSR49" s="159"/>
      <c r="PSS49" s="159"/>
      <c r="PST49" s="159"/>
      <c r="PSU49" s="159"/>
      <c r="PSV49" s="159"/>
      <c r="PSW49" s="159"/>
      <c r="PSX49" s="159"/>
      <c r="PSY49" s="159"/>
      <c r="PSZ49" s="159"/>
      <c r="PTA49" s="159"/>
      <c r="PTB49" s="159"/>
      <c r="PTC49" s="159"/>
      <c r="PTD49" s="159"/>
      <c r="PTE49" s="159"/>
      <c r="PTF49" s="159"/>
      <c r="PTG49" s="159"/>
      <c r="PTH49" s="159"/>
      <c r="PTI49" s="159"/>
      <c r="PTJ49" s="159"/>
      <c r="PTK49" s="159"/>
      <c r="PTL49" s="159"/>
      <c r="PTM49" s="159"/>
      <c r="PTN49" s="159"/>
      <c r="PTO49" s="159"/>
      <c r="PTP49" s="159"/>
      <c r="PTQ49" s="159"/>
      <c r="PTR49" s="159"/>
      <c r="PTS49" s="159"/>
      <c r="PTT49" s="159"/>
      <c r="PTU49" s="159"/>
      <c r="PTV49" s="159"/>
      <c r="PTW49" s="159"/>
      <c r="PTX49" s="159"/>
      <c r="PTY49" s="159"/>
      <c r="PTZ49" s="159"/>
      <c r="PUA49" s="159"/>
      <c r="PUB49" s="159"/>
      <c r="PUC49" s="159"/>
      <c r="PUD49" s="159"/>
      <c r="PUE49" s="159"/>
      <c r="PUF49" s="159"/>
      <c r="PUG49" s="159"/>
      <c r="PUH49" s="159"/>
      <c r="PUI49" s="159"/>
      <c r="PUJ49" s="159"/>
      <c r="PUK49" s="159"/>
      <c r="PUL49" s="159"/>
      <c r="PUM49" s="159"/>
      <c r="PUN49" s="159"/>
      <c r="PUO49" s="159"/>
      <c r="PUP49" s="159"/>
      <c r="PUQ49" s="159"/>
      <c r="PUR49" s="159"/>
      <c r="PUS49" s="159"/>
      <c r="PUT49" s="159"/>
      <c r="PUU49" s="159"/>
      <c r="PUV49" s="159"/>
      <c r="PUW49" s="159"/>
      <c r="PUX49" s="159"/>
      <c r="PUY49" s="159"/>
      <c r="PUZ49" s="159"/>
      <c r="PVA49" s="159"/>
      <c r="PVB49" s="159"/>
      <c r="PVC49" s="159"/>
      <c r="PVD49" s="159"/>
      <c r="PVE49" s="159"/>
      <c r="PVF49" s="159"/>
      <c r="PVG49" s="159"/>
      <c r="PVH49" s="159"/>
      <c r="PVI49" s="159"/>
      <c r="PVJ49" s="159"/>
      <c r="PVK49" s="159"/>
      <c r="PVL49" s="159"/>
      <c r="PVM49" s="159"/>
      <c r="PVN49" s="159"/>
      <c r="PVO49" s="159"/>
      <c r="PVP49" s="159"/>
      <c r="PVQ49" s="159"/>
      <c r="PVR49" s="159"/>
      <c r="PVS49" s="159"/>
      <c r="PVT49" s="159"/>
      <c r="PVU49" s="159"/>
      <c r="PVV49" s="159"/>
      <c r="PVW49" s="159"/>
      <c r="PVX49" s="159"/>
      <c r="PVY49" s="159"/>
      <c r="PVZ49" s="159"/>
      <c r="PWA49" s="159"/>
      <c r="PWB49" s="159"/>
      <c r="PWC49" s="159"/>
      <c r="PWD49" s="159"/>
      <c r="PWE49" s="159"/>
      <c r="PWF49" s="159"/>
      <c r="PWG49" s="159"/>
      <c r="PWH49" s="159"/>
      <c r="PWI49" s="159"/>
      <c r="PWJ49" s="159"/>
      <c r="PWK49" s="159"/>
      <c r="PWL49" s="159"/>
      <c r="PWM49" s="159"/>
      <c r="PWN49" s="159"/>
      <c r="PWO49" s="159"/>
      <c r="PWP49" s="159"/>
      <c r="PWQ49" s="159"/>
      <c r="PWR49" s="159"/>
      <c r="PWS49" s="159"/>
      <c r="PWT49" s="159"/>
      <c r="PWU49" s="159"/>
      <c r="PWV49" s="159"/>
      <c r="PWW49" s="159"/>
      <c r="PWX49" s="159"/>
      <c r="PWY49" s="159"/>
      <c r="PWZ49" s="159"/>
      <c r="PXA49" s="159"/>
      <c r="PXB49" s="159"/>
      <c r="PXC49" s="159"/>
      <c r="PXD49" s="159"/>
      <c r="PXE49" s="159"/>
      <c r="PXF49" s="159"/>
      <c r="PXG49" s="159"/>
      <c r="PXH49" s="159"/>
      <c r="PXI49" s="159"/>
      <c r="PXJ49" s="159"/>
      <c r="PXK49" s="159"/>
      <c r="PXL49" s="159"/>
      <c r="PXM49" s="159"/>
      <c r="PXN49" s="159"/>
      <c r="PXO49" s="159"/>
      <c r="PXP49" s="159"/>
      <c r="PXQ49" s="159"/>
      <c r="PXR49" s="159"/>
      <c r="PXS49" s="159"/>
      <c r="PXT49" s="159"/>
      <c r="PXU49" s="159"/>
      <c r="PXV49" s="159"/>
      <c r="PXW49" s="159"/>
      <c r="PXX49" s="159"/>
      <c r="PXY49" s="159"/>
      <c r="PXZ49" s="159"/>
      <c r="PYA49" s="159"/>
      <c r="PYB49" s="159"/>
      <c r="PYC49" s="159"/>
      <c r="PYD49" s="159"/>
      <c r="PYE49" s="159"/>
      <c r="PYF49" s="159"/>
      <c r="PYG49" s="159"/>
      <c r="PYH49" s="159"/>
      <c r="PYI49" s="159"/>
      <c r="PYJ49" s="159"/>
      <c r="PYK49" s="159"/>
      <c r="PYL49" s="159"/>
      <c r="PYM49" s="159"/>
      <c r="PYN49" s="159"/>
      <c r="PYO49" s="159"/>
      <c r="PYP49" s="159"/>
      <c r="PYQ49" s="159"/>
      <c r="PYR49" s="159"/>
      <c r="PYS49" s="159"/>
      <c r="PYT49" s="159"/>
      <c r="PYU49" s="159"/>
      <c r="PYV49" s="159"/>
      <c r="PYW49" s="159"/>
      <c r="PYX49" s="159"/>
      <c r="PYY49" s="159"/>
      <c r="PYZ49" s="159"/>
      <c r="PZA49" s="159"/>
      <c r="PZB49" s="159"/>
      <c r="PZC49" s="159"/>
      <c r="PZD49" s="159"/>
      <c r="PZE49" s="159"/>
      <c r="PZF49" s="159"/>
      <c r="PZG49" s="159"/>
      <c r="PZH49" s="159"/>
      <c r="PZI49" s="159"/>
      <c r="PZJ49" s="159"/>
      <c r="PZK49" s="159"/>
      <c r="PZL49" s="159"/>
      <c r="PZM49" s="159"/>
      <c r="PZN49" s="159"/>
      <c r="PZO49" s="159"/>
      <c r="PZP49" s="159"/>
      <c r="PZQ49" s="159"/>
      <c r="PZR49" s="159"/>
      <c r="PZS49" s="159"/>
      <c r="PZT49" s="159"/>
      <c r="PZU49" s="159"/>
      <c r="PZV49" s="159"/>
      <c r="PZW49" s="159"/>
      <c r="PZX49" s="159"/>
      <c r="PZY49" s="159"/>
      <c r="PZZ49" s="159"/>
      <c r="QAA49" s="159"/>
      <c r="QAB49" s="159"/>
      <c r="QAC49" s="159"/>
      <c r="QAD49" s="159"/>
      <c r="QAE49" s="159"/>
      <c r="QAF49" s="159"/>
      <c r="QAG49" s="159"/>
      <c r="QAH49" s="159"/>
      <c r="QAI49" s="159"/>
      <c r="QAJ49" s="159"/>
      <c r="QAK49" s="159"/>
      <c r="QAL49" s="159"/>
      <c r="QAM49" s="159"/>
      <c r="QAN49" s="159"/>
      <c r="QAO49" s="159"/>
      <c r="QAP49" s="159"/>
      <c r="QAQ49" s="159"/>
      <c r="QAR49" s="159"/>
      <c r="QAS49" s="159"/>
      <c r="QAT49" s="159"/>
      <c r="QAU49" s="159"/>
      <c r="QAV49" s="159"/>
      <c r="QAW49" s="159"/>
      <c r="QAX49" s="159"/>
      <c r="QAY49" s="159"/>
      <c r="QAZ49" s="159"/>
      <c r="QBA49" s="159"/>
      <c r="QBB49" s="159"/>
      <c r="QBC49" s="159"/>
      <c r="QBD49" s="159"/>
      <c r="QBE49" s="159"/>
      <c r="QBF49" s="159"/>
      <c r="QBG49" s="159"/>
      <c r="QBH49" s="159"/>
      <c r="QBI49" s="159"/>
      <c r="QBJ49" s="159"/>
      <c r="QBK49" s="159"/>
      <c r="QBL49" s="159"/>
      <c r="QBM49" s="159"/>
      <c r="QBN49" s="159"/>
      <c r="QBO49" s="159"/>
      <c r="QBP49" s="159"/>
      <c r="QBQ49" s="159"/>
      <c r="QBR49" s="159"/>
      <c r="QBS49" s="159"/>
      <c r="QBT49" s="159"/>
      <c r="QBU49" s="159"/>
      <c r="QBV49" s="159"/>
      <c r="QBW49" s="159"/>
      <c r="QBX49" s="159"/>
      <c r="QBY49" s="159"/>
      <c r="QBZ49" s="159"/>
      <c r="QCA49" s="159"/>
      <c r="QCB49" s="159"/>
      <c r="QCC49" s="159"/>
      <c r="QCD49" s="159"/>
      <c r="QCE49" s="159"/>
      <c r="QCF49" s="159"/>
      <c r="QCG49" s="159"/>
      <c r="QCH49" s="159"/>
      <c r="QCI49" s="159"/>
      <c r="QCJ49" s="159"/>
      <c r="QCK49" s="159"/>
      <c r="QCL49" s="159"/>
      <c r="QCM49" s="159"/>
      <c r="QCN49" s="159"/>
      <c r="QCO49" s="159"/>
      <c r="QCP49" s="159"/>
      <c r="QCQ49" s="159"/>
      <c r="QCR49" s="159"/>
      <c r="QCS49" s="159"/>
      <c r="QCT49" s="159"/>
      <c r="QCU49" s="159"/>
      <c r="QCV49" s="159"/>
      <c r="QCW49" s="159"/>
      <c r="QCX49" s="159"/>
      <c r="QCY49" s="159"/>
      <c r="QCZ49" s="159"/>
      <c r="QDA49" s="159"/>
      <c r="QDB49" s="159"/>
      <c r="QDC49" s="159"/>
      <c r="QDD49" s="159"/>
      <c r="QDE49" s="159"/>
      <c r="QDF49" s="159"/>
      <c r="QDG49" s="159"/>
      <c r="QDH49" s="159"/>
      <c r="QDI49" s="159"/>
      <c r="QDJ49" s="159"/>
      <c r="QDK49" s="159"/>
      <c r="QDL49" s="159"/>
      <c r="QDM49" s="159"/>
      <c r="QDN49" s="159"/>
      <c r="QDO49" s="159"/>
      <c r="QDP49" s="159"/>
      <c r="QDQ49" s="159"/>
      <c r="QDR49" s="159"/>
      <c r="QDS49" s="159"/>
      <c r="QDT49" s="159"/>
      <c r="QDU49" s="159"/>
      <c r="QDV49" s="159"/>
      <c r="QDW49" s="159"/>
      <c r="QDX49" s="159"/>
      <c r="QDY49" s="159"/>
      <c r="QDZ49" s="159"/>
      <c r="QEA49" s="159"/>
      <c r="QEB49" s="159"/>
      <c r="QEC49" s="159"/>
      <c r="QED49" s="159"/>
      <c r="QEE49" s="159"/>
      <c r="QEF49" s="159"/>
      <c r="QEG49" s="159"/>
      <c r="QEH49" s="159"/>
      <c r="QEI49" s="159"/>
      <c r="QEJ49" s="159"/>
      <c r="QEK49" s="159"/>
      <c r="QEL49" s="159"/>
      <c r="QEM49" s="159"/>
      <c r="QEN49" s="159"/>
      <c r="QEO49" s="159"/>
      <c r="QEP49" s="159"/>
      <c r="QEQ49" s="159"/>
      <c r="QER49" s="159"/>
      <c r="QES49" s="159"/>
      <c r="QET49" s="159"/>
      <c r="QEU49" s="159"/>
      <c r="QEV49" s="159"/>
      <c r="QEW49" s="159"/>
      <c r="QEX49" s="159"/>
      <c r="QEY49" s="159"/>
      <c r="QEZ49" s="159"/>
      <c r="QFA49" s="159"/>
      <c r="QFB49" s="159"/>
      <c r="QFC49" s="159"/>
      <c r="QFD49" s="159"/>
      <c r="QFE49" s="159"/>
      <c r="QFF49" s="159"/>
      <c r="QFG49" s="159"/>
      <c r="QFH49" s="159"/>
      <c r="QFI49" s="159"/>
      <c r="QFJ49" s="159"/>
      <c r="QFK49" s="159"/>
      <c r="QFL49" s="159"/>
      <c r="QFM49" s="159"/>
      <c r="QFN49" s="159"/>
      <c r="QFO49" s="159"/>
      <c r="QFP49" s="159"/>
      <c r="QFQ49" s="159"/>
      <c r="QFR49" s="159"/>
      <c r="QFS49" s="159"/>
      <c r="QFT49" s="159"/>
      <c r="QFU49" s="159"/>
      <c r="QFV49" s="159"/>
      <c r="QFW49" s="159"/>
      <c r="QFX49" s="159"/>
      <c r="QFY49" s="159"/>
      <c r="QFZ49" s="159"/>
      <c r="QGA49" s="159"/>
      <c r="QGB49" s="159"/>
      <c r="QGC49" s="159"/>
      <c r="QGD49" s="159"/>
      <c r="QGE49" s="159"/>
      <c r="QGF49" s="159"/>
      <c r="QGG49" s="159"/>
      <c r="QGH49" s="159"/>
      <c r="QGI49" s="159"/>
      <c r="QGJ49" s="159"/>
      <c r="QGK49" s="159"/>
      <c r="QGL49" s="159"/>
      <c r="QGM49" s="159"/>
      <c r="QGN49" s="159"/>
      <c r="QGO49" s="159"/>
      <c r="QGP49" s="159"/>
      <c r="QGQ49" s="159"/>
      <c r="QGR49" s="159"/>
      <c r="QGS49" s="159"/>
      <c r="QGT49" s="159"/>
      <c r="QGU49" s="159"/>
      <c r="QGV49" s="159"/>
      <c r="QGW49" s="159"/>
      <c r="QGX49" s="159"/>
      <c r="QGY49" s="159"/>
      <c r="QGZ49" s="159"/>
      <c r="QHA49" s="159"/>
      <c r="QHB49" s="159"/>
      <c r="QHC49" s="159"/>
      <c r="QHD49" s="159"/>
      <c r="QHE49" s="159"/>
      <c r="QHF49" s="159"/>
      <c r="QHG49" s="159"/>
      <c r="QHH49" s="159"/>
      <c r="QHI49" s="159"/>
      <c r="QHJ49" s="159"/>
      <c r="QHK49" s="159"/>
      <c r="QHL49" s="159"/>
      <c r="QHM49" s="159"/>
      <c r="QHN49" s="159"/>
      <c r="QHO49" s="159"/>
      <c r="QHP49" s="159"/>
      <c r="QHQ49" s="159"/>
      <c r="QHR49" s="159"/>
      <c r="QHS49" s="159"/>
      <c r="QHT49" s="159"/>
      <c r="QHU49" s="159"/>
      <c r="QHV49" s="159"/>
      <c r="QHW49" s="159"/>
      <c r="QHX49" s="159"/>
      <c r="QHY49" s="159"/>
      <c r="QHZ49" s="159"/>
      <c r="QIA49" s="159"/>
      <c r="QIB49" s="159"/>
      <c r="QIC49" s="159"/>
      <c r="QID49" s="159"/>
      <c r="QIE49" s="159"/>
      <c r="QIF49" s="159"/>
      <c r="QIG49" s="159"/>
      <c r="QIH49" s="159"/>
      <c r="QII49" s="159"/>
      <c r="QIJ49" s="159"/>
      <c r="QIK49" s="159"/>
      <c r="QIL49" s="159"/>
      <c r="QIM49" s="159"/>
      <c r="QIN49" s="159"/>
      <c r="QIO49" s="159"/>
      <c r="QIP49" s="159"/>
      <c r="QIQ49" s="159"/>
      <c r="QIR49" s="159"/>
      <c r="QIS49" s="159"/>
      <c r="QIT49" s="159"/>
      <c r="QIU49" s="159"/>
      <c r="QIV49" s="159"/>
      <c r="QIW49" s="159"/>
      <c r="QIX49" s="159"/>
      <c r="QIY49" s="159"/>
      <c r="QIZ49" s="159"/>
      <c r="QJA49" s="159"/>
      <c r="QJB49" s="159"/>
      <c r="QJC49" s="159"/>
      <c r="QJD49" s="159"/>
      <c r="QJE49" s="159"/>
      <c r="QJF49" s="159"/>
      <c r="QJG49" s="159"/>
      <c r="QJH49" s="159"/>
      <c r="QJI49" s="159"/>
      <c r="QJJ49" s="159"/>
      <c r="QJK49" s="159"/>
      <c r="QJL49" s="159"/>
      <c r="QJM49" s="159"/>
      <c r="QJN49" s="159"/>
      <c r="QJO49" s="159"/>
      <c r="QJP49" s="159"/>
      <c r="QJQ49" s="159"/>
      <c r="QJR49" s="159"/>
      <c r="QJS49" s="159"/>
      <c r="QJT49" s="159"/>
      <c r="QJU49" s="159"/>
      <c r="QJV49" s="159"/>
      <c r="QJW49" s="159"/>
      <c r="QJX49" s="159"/>
      <c r="QJY49" s="159"/>
      <c r="QJZ49" s="159"/>
      <c r="QKA49" s="159"/>
      <c r="QKB49" s="159"/>
      <c r="QKC49" s="159"/>
      <c r="QKD49" s="159"/>
      <c r="QKE49" s="159"/>
      <c r="QKF49" s="159"/>
      <c r="QKG49" s="159"/>
      <c r="QKH49" s="159"/>
      <c r="QKI49" s="159"/>
      <c r="QKJ49" s="159"/>
      <c r="QKK49" s="159"/>
      <c r="QKL49" s="159"/>
      <c r="QKM49" s="159"/>
      <c r="QKN49" s="159"/>
      <c r="QKO49" s="159"/>
      <c r="QKP49" s="159"/>
      <c r="QKQ49" s="159"/>
      <c r="QKR49" s="159"/>
      <c r="QKS49" s="159"/>
      <c r="QKT49" s="159"/>
      <c r="QKU49" s="159"/>
      <c r="QKV49" s="159"/>
      <c r="QKW49" s="159"/>
      <c r="QKX49" s="159"/>
      <c r="QKY49" s="159"/>
      <c r="QKZ49" s="159"/>
      <c r="QLA49" s="159"/>
      <c r="QLB49" s="159"/>
      <c r="QLC49" s="159"/>
      <c r="QLD49" s="159"/>
      <c r="QLE49" s="159"/>
      <c r="QLF49" s="159"/>
      <c r="QLG49" s="159"/>
      <c r="QLH49" s="159"/>
      <c r="QLI49" s="159"/>
      <c r="QLJ49" s="159"/>
      <c r="QLK49" s="159"/>
      <c r="QLL49" s="159"/>
      <c r="QLM49" s="159"/>
      <c r="QLN49" s="159"/>
      <c r="QLO49" s="159"/>
      <c r="QLP49" s="159"/>
      <c r="QLQ49" s="159"/>
      <c r="QLR49" s="159"/>
      <c r="QLS49" s="159"/>
      <c r="QLT49" s="159"/>
      <c r="QLU49" s="159"/>
      <c r="QLV49" s="159"/>
      <c r="QLW49" s="159"/>
      <c r="QLX49" s="159"/>
      <c r="QLY49" s="159"/>
      <c r="QLZ49" s="159"/>
      <c r="QMA49" s="159"/>
      <c r="QMB49" s="159"/>
      <c r="QMC49" s="159"/>
      <c r="QMD49" s="159"/>
      <c r="QME49" s="159"/>
      <c r="QMF49" s="159"/>
      <c r="QMG49" s="159"/>
      <c r="QMH49" s="159"/>
      <c r="QMI49" s="159"/>
      <c r="QMJ49" s="159"/>
      <c r="QMK49" s="159"/>
      <c r="QML49" s="159"/>
      <c r="QMM49" s="159"/>
      <c r="QMN49" s="159"/>
      <c r="QMO49" s="159"/>
      <c r="QMP49" s="159"/>
      <c r="QMQ49" s="159"/>
      <c r="QMR49" s="159"/>
      <c r="QMS49" s="159"/>
      <c r="QMT49" s="159"/>
      <c r="QMU49" s="159"/>
      <c r="QMV49" s="159"/>
      <c r="QMW49" s="159"/>
      <c r="QMX49" s="159"/>
      <c r="QMY49" s="159"/>
      <c r="QMZ49" s="159"/>
      <c r="QNA49" s="159"/>
      <c r="QNB49" s="159"/>
      <c r="QNC49" s="159"/>
      <c r="QND49" s="159"/>
      <c r="QNE49" s="159"/>
      <c r="QNF49" s="159"/>
      <c r="QNG49" s="159"/>
      <c r="QNH49" s="159"/>
      <c r="QNI49" s="159"/>
      <c r="QNJ49" s="159"/>
      <c r="QNK49" s="159"/>
      <c r="QNL49" s="159"/>
      <c r="QNM49" s="159"/>
      <c r="QNN49" s="159"/>
      <c r="QNO49" s="159"/>
      <c r="QNP49" s="159"/>
      <c r="QNQ49" s="159"/>
      <c r="QNR49" s="159"/>
      <c r="QNS49" s="159"/>
      <c r="QNT49" s="159"/>
      <c r="QNU49" s="159"/>
      <c r="QNV49" s="159"/>
      <c r="QNW49" s="159"/>
      <c r="QNX49" s="159"/>
      <c r="QNY49" s="159"/>
      <c r="QNZ49" s="159"/>
      <c r="QOA49" s="159"/>
      <c r="QOB49" s="159"/>
      <c r="QOC49" s="159"/>
      <c r="QOD49" s="159"/>
      <c r="QOE49" s="159"/>
      <c r="QOF49" s="159"/>
      <c r="QOG49" s="159"/>
      <c r="QOH49" s="159"/>
      <c r="QOI49" s="159"/>
      <c r="QOJ49" s="159"/>
      <c r="QOK49" s="159"/>
      <c r="QOL49" s="159"/>
      <c r="QOM49" s="159"/>
      <c r="QON49" s="159"/>
      <c r="QOO49" s="159"/>
      <c r="QOP49" s="159"/>
      <c r="QOQ49" s="159"/>
      <c r="QOR49" s="159"/>
      <c r="QOS49" s="159"/>
      <c r="QOT49" s="159"/>
      <c r="QOU49" s="159"/>
      <c r="QOV49" s="159"/>
      <c r="QOW49" s="159"/>
      <c r="QOX49" s="159"/>
      <c r="QOY49" s="159"/>
      <c r="QOZ49" s="159"/>
      <c r="QPA49" s="159"/>
      <c r="QPB49" s="159"/>
      <c r="QPC49" s="159"/>
      <c r="QPD49" s="159"/>
      <c r="QPE49" s="159"/>
      <c r="QPF49" s="159"/>
      <c r="QPG49" s="159"/>
      <c r="QPH49" s="159"/>
      <c r="QPI49" s="159"/>
      <c r="QPJ49" s="159"/>
      <c r="QPK49" s="159"/>
      <c r="QPL49" s="159"/>
      <c r="QPM49" s="159"/>
      <c r="QPN49" s="159"/>
      <c r="QPO49" s="159"/>
      <c r="QPP49" s="159"/>
      <c r="QPQ49" s="159"/>
      <c r="QPR49" s="159"/>
      <c r="QPS49" s="159"/>
      <c r="QPT49" s="159"/>
      <c r="QPU49" s="159"/>
      <c r="QPV49" s="159"/>
      <c r="QPW49" s="159"/>
      <c r="QPX49" s="159"/>
      <c r="QPY49" s="159"/>
      <c r="QPZ49" s="159"/>
      <c r="QQA49" s="159"/>
      <c r="QQB49" s="159"/>
      <c r="QQC49" s="159"/>
      <c r="QQD49" s="159"/>
      <c r="QQE49" s="159"/>
      <c r="QQF49" s="159"/>
      <c r="QQG49" s="159"/>
      <c r="QQH49" s="159"/>
      <c r="QQI49" s="159"/>
      <c r="QQJ49" s="159"/>
      <c r="QQK49" s="159"/>
      <c r="QQL49" s="159"/>
      <c r="QQM49" s="159"/>
      <c r="QQN49" s="159"/>
      <c r="QQO49" s="159"/>
      <c r="QQP49" s="159"/>
      <c r="QQQ49" s="159"/>
      <c r="QQR49" s="159"/>
      <c r="QQS49" s="159"/>
      <c r="QQT49" s="159"/>
      <c r="QQU49" s="159"/>
      <c r="QQV49" s="159"/>
      <c r="QQW49" s="159"/>
      <c r="QQX49" s="159"/>
      <c r="QQY49" s="159"/>
      <c r="QQZ49" s="159"/>
      <c r="QRA49" s="159"/>
      <c r="QRB49" s="159"/>
      <c r="QRC49" s="159"/>
      <c r="QRD49" s="159"/>
      <c r="QRE49" s="159"/>
      <c r="QRF49" s="159"/>
      <c r="QRG49" s="159"/>
      <c r="QRH49" s="159"/>
      <c r="QRI49" s="159"/>
      <c r="QRJ49" s="159"/>
      <c r="QRK49" s="159"/>
      <c r="QRL49" s="159"/>
      <c r="QRM49" s="159"/>
      <c r="QRN49" s="159"/>
      <c r="QRO49" s="159"/>
      <c r="QRP49" s="159"/>
      <c r="QRQ49" s="159"/>
      <c r="QRR49" s="159"/>
      <c r="QRS49" s="159"/>
      <c r="QRT49" s="159"/>
      <c r="QRU49" s="159"/>
      <c r="QRV49" s="159"/>
      <c r="QRW49" s="159"/>
      <c r="QRX49" s="159"/>
      <c r="QRY49" s="159"/>
      <c r="QRZ49" s="159"/>
      <c r="QSA49" s="159"/>
      <c r="QSB49" s="159"/>
      <c r="QSC49" s="159"/>
      <c r="QSD49" s="159"/>
      <c r="QSE49" s="159"/>
      <c r="QSF49" s="159"/>
      <c r="QSG49" s="159"/>
      <c r="QSH49" s="159"/>
      <c r="QSI49" s="159"/>
      <c r="QSJ49" s="159"/>
      <c r="QSK49" s="159"/>
      <c r="QSL49" s="159"/>
      <c r="QSM49" s="159"/>
      <c r="QSN49" s="159"/>
      <c r="QSO49" s="159"/>
      <c r="QSP49" s="159"/>
      <c r="QSQ49" s="159"/>
      <c r="QSR49" s="159"/>
      <c r="QSS49" s="159"/>
      <c r="QST49" s="159"/>
      <c r="QSU49" s="159"/>
      <c r="QSV49" s="159"/>
      <c r="QSW49" s="159"/>
      <c r="QSX49" s="159"/>
      <c r="QSY49" s="159"/>
      <c r="QSZ49" s="159"/>
      <c r="QTA49" s="159"/>
      <c r="QTB49" s="159"/>
      <c r="QTC49" s="159"/>
      <c r="QTD49" s="159"/>
      <c r="QTE49" s="159"/>
      <c r="QTF49" s="159"/>
      <c r="QTG49" s="159"/>
      <c r="QTH49" s="159"/>
      <c r="QTI49" s="159"/>
      <c r="QTJ49" s="159"/>
      <c r="QTK49" s="159"/>
      <c r="QTL49" s="159"/>
      <c r="QTM49" s="159"/>
      <c r="QTN49" s="159"/>
      <c r="QTO49" s="159"/>
      <c r="QTP49" s="159"/>
      <c r="QTQ49" s="159"/>
      <c r="QTR49" s="159"/>
      <c r="QTS49" s="159"/>
      <c r="QTT49" s="159"/>
      <c r="QTU49" s="159"/>
      <c r="QTV49" s="159"/>
      <c r="QTW49" s="159"/>
      <c r="QTX49" s="159"/>
      <c r="QTY49" s="159"/>
      <c r="QTZ49" s="159"/>
      <c r="QUA49" s="159"/>
      <c r="QUB49" s="159"/>
      <c r="QUC49" s="159"/>
      <c r="QUD49" s="159"/>
      <c r="QUE49" s="159"/>
      <c r="QUF49" s="159"/>
      <c r="QUG49" s="159"/>
      <c r="QUH49" s="159"/>
      <c r="QUI49" s="159"/>
      <c r="QUJ49" s="159"/>
      <c r="QUK49" s="159"/>
      <c r="QUL49" s="159"/>
      <c r="QUM49" s="159"/>
      <c r="QUN49" s="159"/>
      <c r="QUO49" s="159"/>
      <c r="QUP49" s="159"/>
      <c r="QUQ49" s="159"/>
      <c r="QUR49" s="159"/>
      <c r="QUS49" s="159"/>
      <c r="QUT49" s="159"/>
      <c r="QUU49" s="159"/>
      <c r="QUV49" s="159"/>
      <c r="QUW49" s="159"/>
      <c r="QUX49" s="159"/>
      <c r="QUY49" s="159"/>
      <c r="QUZ49" s="159"/>
      <c r="QVA49" s="159"/>
      <c r="QVB49" s="159"/>
      <c r="QVC49" s="159"/>
      <c r="QVD49" s="159"/>
      <c r="QVE49" s="159"/>
      <c r="QVF49" s="159"/>
      <c r="QVG49" s="159"/>
      <c r="QVH49" s="159"/>
      <c r="QVI49" s="159"/>
      <c r="QVJ49" s="159"/>
      <c r="QVK49" s="159"/>
      <c r="QVL49" s="159"/>
      <c r="QVM49" s="159"/>
      <c r="QVN49" s="159"/>
      <c r="QVO49" s="159"/>
      <c r="QVP49" s="159"/>
      <c r="QVQ49" s="159"/>
      <c r="QVR49" s="159"/>
      <c r="QVS49" s="159"/>
      <c r="QVT49" s="159"/>
      <c r="QVU49" s="159"/>
      <c r="QVV49" s="159"/>
      <c r="QVW49" s="159"/>
      <c r="QVX49" s="159"/>
      <c r="QVY49" s="159"/>
      <c r="QVZ49" s="159"/>
      <c r="QWA49" s="159"/>
      <c r="QWB49" s="159"/>
      <c r="QWC49" s="159"/>
      <c r="QWD49" s="159"/>
      <c r="QWE49" s="159"/>
      <c r="QWF49" s="159"/>
      <c r="QWG49" s="159"/>
      <c r="QWH49" s="159"/>
      <c r="QWI49" s="159"/>
      <c r="QWJ49" s="159"/>
      <c r="QWK49" s="159"/>
      <c r="QWL49" s="159"/>
      <c r="QWM49" s="159"/>
      <c r="QWN49" s="159"/>
      <c r="QWO49" s="159"/>
      <c r="QWP49" s="159"/>
      <c r="QWQ49" s="159"/>
      <c r="QWR49" s="159"/>
      <c r="QWS49" s="159"/>
      <c r="QWT49" s="159"/>
      <c r="QWU49" s="159"/>
      <c r="QWV49" s="159"/>
      <c r="QWW49" s="159"/>
      <c r="QWX49" s="159"/>
      <c r="QWY49" s="159"/>
      <c r="QWZ49" s="159"/>
      <c r="QXA49" s="159"/>
      <c r="QXB49" s="159"/>
      <c r="QXC49" s="159"/>
      <c r="QXD49" s="159"/>
      <c r="QXE49" s="159"/>
      <c r="QXF49" s="159"/>
      <c r="QXG49" s="159"/>
      <c r="QXH49" s="159"/>
      <c r="QXI49" s="159"/>
      <c r="QXJ49" s="159"/>
      <c r="QXK49" s="159"/>
      <c r="QXL49" s="159"/>
      <c r="QXM49" s="159"/>
      <c r="QXN49" s="159"/>
      <c r="QXO49" s="159"/>
      <c r="QXP49" s="159"/>
      <c r="QXQ49" s="159"/>
      <c r="QXR49" s="159"/>
      <c r="QXS49" s="159"/>
      <c r="QXT49" s="159"/>
      <c r="QXU49" s="159"/>
      <c r="QXV49" s="159"/>
      <c r="QXW49" s="159"/>
      <c r="QXX49" s="159"/>
      <c r="QXY49" s="159"/>
      <c r="QXZ49" s="159"/>
      <c r="QYA49" s="159"/>
      <c r="QYB49" s="159"/>
      <c r="QYC49" s="159"/>
      <c r="QYD49" s="159"/>
      <c r="QYE49" s="159"/>
      <c r="QYF49" s="159"/>
      <c r="QYG49" s="159"/>
      <c r="QYH49" s="159"/>
      <c r="QYI49" s="159"/>
      <c r="QYJ49" s="159"/>
      <c r="QYK49" s="159"/>
      <c r="QYL49" s="159"/>
      <c r="QYM49" s="159"/>
      <c r="QYN49" s="159"/>
      <c r="QYO49" s="159"/>
      <c r="QYP49" s="159"/>
      <c r="QYQ49" s="159"/>
      <c r="QYR49" s="159"/>
      <c r="QYS49" s="159"/>
      <c r="QYT49" s="159"/>
      <c r="QYU49" s="159"/>
      <c r="QYV49" s="159"/>
      <c r="QYW49" s="159"/>
      <c r="QYX49" s="159"/>
      <c r="QYY49" s="159"/>
      <c r="QYZ49" s="159"/>
      <c r="QZA49" s="159"/>
      <c r="QZB49" s="159"/>
      <c r="QZC49" s="159"/>
      <c r="QZD49" s="159"/>
      <c r="QZE49" s="159"/>
      <c r="QZF49" s="159"/>
      <c r="QZG49" s="159"/>
      <c r="QZH49" s="159"/>
      <c r="QZI49" s="159"/>
      <c r="QZJ49" s="159"/>
      <c r="QZK49" s="159"/>
      <c r="QZL49" s="159"/>
      <c r="QZM49" s="159"/>
      <c r="QZN49" s="159"/>
      <c r="QZO49" s="159"/>
      <c r="QZP49" s="159"/>
      <c r="QZQ49" s="159"/>
      <c r="QZR49" s="159"/>
      <c r="QZS49" s="159"/>
      <c r="QZT49" s="159"/>
      <c r="QZU49" s="159"/>
      <c r="QZV49" s="159"/>
      <c r="QZW49" s="159"/>
      <c r="QZX49" s="159"/>
      <c r="QZY49" s="159"/>
      <c r="QZZ49" s="159"/>
      <c r="RAA49" s="159"/>
      <c r="RAB49" s="159"/>
      <c r="RAC49" s="159"/>
      <c r="RAD49" s="159"/>
      <c r="RAE49" s="159"/>
      <c r="RAF49" s="159"/>
      <c r="RAG49" s="159"/>
      <c r="RAH49" s="159"/>
      <c r="RAI49" s="159"/>
      <c r="RAJ49" s="159"/>
      <c r="RAK49" s="159"/>
      <c r="RAL49" s="159"/>
      <c r="RAM49" s="159"/>
      <c r="RAN49" s="159"/>
      <c r="RAO49" s="159"/>
      <c r="RAP49" s="159"/>
      <c r="RAQ49" s="159"/>
      <c r="RAR49" s="159"/>
      <c r="RAS49" s="159"/>
      <c r="RAT49" s="159"/>
      <c r="RAU49" s="159"/>
      <c r="RAV49" s="159"/>
      <c r="RAW49" s="159"/>
      <c r="RAX49" s="159"/>
      <c r="RAY49" s="159"/>
      <c r="RAZ49" s="159"/>
      <c r="RBA49" s="159"/>
      <c r="RBB49" s="159"/>
      <c r="RBC49" s="159"/>
      <c r="RBD49" s="159"/>
      <c r="RBE49" s="159"/>
      <c r="RBF49" s="159"/>
      <c r="RBG49" s="159"/>
      <c r="RBH49" s="159"/>
      <c r="RBI49" s="159"/>
      <c r="RBJ49" s="159"/>
      <c r="RBK49" s="159"/>
      <c r="RBL49" s="159"/>
      <c r="RBM49" s="159"/>
      <c r="RBN49" s="159"/>
      <c r="RBO49" s="159"/>
      <c r="RBP49" s="159"/>
      <c r="RBQ49" s="159"/>
      <c r="RBR49" s="159"/>
      <c r="RBS49" s="159"/>
      <c r="RBT49" s="159"/>
      <c r="RBU49" s="159"/>
      <c r="RBV49" s="159"/>
      <c r="RBW49" s="159"/>
      <c r="RBX49" s="159"/>
      <c r="RBY49" s="159"/>
      <c r="RBZ49" s="159"/>
      <c r="RCA49" s="159"/>
      <c r="RCB49" s="159"/>
      <c r="RCC49" s="159"/>
      <c r="RCD49" s="159"/>
      <c r="RCE49" s="159"/>
      <c r="RCF49" s="159"/>
      <c r="RCG49" s="159"/>
      <c r="RCH49" s="159"/>
      <c r="RCI49" s="159"/>
      <c r="RCJ49" s="159"/>
      <c r="RCK49" s="159"/>
      <c r="RCL49" s="159"/>
      <c r="RCM49" s="159"/>
      <c r="RCN49" s="159"/>
      <c r="RCO49" s="159"/>
      <c r="RCP49" s="159"/>
      <c r="RCQ49" s="159"/>
      <c r="RCR49" s="159"/>
      <c r="RCS49" s="159"/>
      <c r="RCT49" s="159"/>
      <c r="RCU49" s="159"/>
      <c r="RCV49" s="159"/>
      <c r="RCW49" s="159"/>
      <c r="RCX49" s="159"/>
      <c r="RCY49" s="159"/>
      <c r="RCZ49" s="159"/>
      <c r="RDA49" s="159"/>
      <c r="RDB49" s="159"/>
      <c r="RDC49" s="159"/>
      <c r="RDD49" s="159"/>
      <c r="RDE49" s="159"/>
      <c r="RDF49" s="159"/>
      <c r="RDG49" s="159"/>
      <c r="RDH49" s="159"/>
      <c r="RDI49" s="159"/>
      <c r="RDJ49" s="159"/>
      <c r="RDK49" s="159"/>
      <c r="RDL49" s="159"/>
      <c r="RDM49" s="159"/>
      <c r="RDN49" s="159"/>
      <c r="RDO49" s="159"/>
      <c r="RDP49" s="159"/>
      <c r="RDQ49" s="159"/>
      <c r="RDR49" s="159"/>
      <c r="RDS49" s="159"/>
      <c r="RDT49" s="159"/>
      <c r="RDU49" s="159"/>
      <c r="RDV49" s="159"/>
      <c r="RDW49" s="159"/>
      <c r="RDX49" s="159"/>
      <c r="RDY49" s="159"/>
      <c r="RDZ49" s="159"/>
      <c r="REA49" s="159"/>
      <c r="REB49" s="159"/>
      <c r="REC49" s="159"/>
      <c r="RED49" s="159"/>
      <c r="REE49" s="159"/>
      <c r="REF49" s="159"/>
      <c r="REG49" s="159"/>
      <c r="REH49" s="159"/>
      <c r="REI49" s="159"/>
      <c r="REJ49" s="159"/>
      <c r="REK49" s="159"/>
      <c r="REL49" s="159"/>
      <c r="REM49" s="159"/>
      <c r="REN49" s="159"/>
      <c r="REO49" s="159"/>
      <c r="REP49" s="159"/>
      <c r="REQ49" s="159"/>
      <c r="RER49" s="159"/>
      <c r="RES49" s="159"/>
      <c r="RET49" s="159"/>
      <c r="REU49" s="159"/>
      <c r="REV49" s="159"/>
      <c r="REW49" s="159"/>
      <c r="REX49" s="159"/>
      <c r="REY49" s="159"/>
      <c r="REZ49" s="159"/>
      <c r="RFA49" s="159"/>
      <c r="RFB49" s="159"/>
      <c r="RFC49" s="159"/>
      <c r="RFD49" s="159"/>
      <c r="RFE49" s="159"/>
      <c r="RFF49" s="159"/>
      <c r="RFG49" s="159"/>
      <c r="RFH49" s="159"/>
      <c r="RFI49" s="159"/>
      <c r="RFJ49" s="159"/>
      <c r="RFK49" s="159"/>
      <c r="RFL49" s="159"/>
      <c r="RFM49" s="159"/>
      <c r="RFN49" s="159"/>
      <c r="RFO49" s="159"/>
      <c r="RFP49" s="159"/>
      <c r="RFQ49" s="159"/>
      <c r="RFR49" s="159"/>
      <c r="RFS49" s="159"/>
      <c r="RFT49" s="159"/>
      <c r="RFU49" s="159"/>
      <c r="RFV49" s="159"/>
      <c r="RFW49" s="159"/>
      <c r="RFX49" s="159"/>
      <c r="RFY49" s="159"/>
      <c r="RFZ49" s="159"/>
      <c r="RGA49" s="159"/>
      <c r="RGB49" s="159"/>
      <c r="RGC49" s="159"/>
      <c r="RGD49" s="159"/>
      <c r="RGE49" s="159"/>
      <c r="RGF49" s="159"/>
      <c r="RGG49" s="159"/>
      <c r="RGH49" s="159"/>
      <c r="RGI49" s="159"/>
      <c r="RGJ49" s="159"/>
      <c r="RGK49" s="159"/>
      <c r="RGL49" s="159"/>
      <c r="RGM49" s="159"/>
      <c r="RGN49" s="159"/>
      <c r="RGO49" s="159"/>
      <c r="RGP49" s="159"/>
      <c r="RGQ49" s="159"/>
      <c r="RGR49" s="159"/>
      <c r="RGS49" s="159"/>
      <c r="RGT49" s="159"/>
      <c r="RGU49" s="159"/>
      <c r="RGV49" s="159"/>
      <c r="RGW49" s="159"/>
      <c r="RGX49" s="159"/>
      <c r="RGY49" s="159"/>
      <c r="RGZ49" s="159"/>
      <c r="RHA49" s="159"/>
      <c r="RHB49" s="159"/>
      <c r="RHC49" s="159"/>
      <c r="RHD49" s="159"/>
      <c r="RHE49" s="159"/>
      <c r="RHF49" s="159"/>
      <c r="RHG49" s="159"/>
      <c r="RHH49" s="159"/>
      <c r="RHI49" s="159"/>
      <c r="RHJ49" s="159"/>
      <c r="RHK49" s="159"/>
      <c r="RHL49" s="159"/>
      <c r="RHM49" s="159"/>
      <c r="RHN49" s="159"/>
      <c r="RHO49" s="159"/>
      <c r="RHP49" s="159"/>
      <c r="RHQ49" s="159"/>
      <c r="RHR49" s="159"/>
      <c r="RHS49" s="159"/>
      <c r="RHT49" s="159"/>
      <c r="RHU49" s="159"/>
      <c r="RHV49" s="159"/>
      <c r="RHW49" s="159"/>
      <c r="RHX49" s="159"/>
      <c r="RHY49" s="159"/>
      <c r="RHZ49" s="159"/>
      <c r="RIA49" s="159"/>
      <c r="RIB49" s="159"/>
      <c r="RIC49" s="159"/>
      <c r="RID49" s="159"/>
      <c r="RIE49" s="159"/>
      <c r="RIF49" s="159"/>
      <c r="RIG49" s="159"/>
      <c r="RIH49" s="159"/>
      <c r="RII49" s="159"/>
      <c r="RIJ49" s="159"/>
      <c r="RIK49" s="159"/>
      <c r="RIL49" s="159"/>
      <c r="RIM49" s="159"/>
      <c r="RIN49" s="159"/>
      <c r="RIO49" s="159"/>
      <c r="RIP49" s="159"/>
      <c r="RIQ49" s="159"/>
      <c r="RIR49" s="159"/>
      <c r="RIS49" s="159"/>
      <c r="RIT49" s="159"/>
      <c r="RIU49" s="159"/>
      <c r="RIV49" s="159"/>
      <c r="RIW49" s="159"/>
      <c r="RIX49" s="159"/>
      <c r="RIY49" s="159"/>
      <c r="RIZ49" s="159"/>
      <c r="RJA49" s="159"/>
      <c r="RJB49" s="159"/>
      <c r="RJC49" s="159"/>
      <c r="RJD49" s="159"/>
      <c r="RJE49" s="159"/>
      <c r="RJF49" s="159"/>
      <c r="RJG49" s="159"/>
      <c r="RJH49" s="159"/>
      <c r="RJI49" s="159"/>
      <c r="RJJ49" s="159"/>
      <c r="RJK49" s="159"/>
      <c r="RJL49" s="159"/>
      <c r="RJM49" s="159"/>
      <c r="RJN49" s="159"/>
      <c r="RJO49" s="159"/>
      <c r="RJP49" s="159"/>
      <c r="RJQ49" s="159"/>
      <c r="RJR49" s="159"/>
      <c r="RJS49" s="159"/>
      <c r="RJT49" s="159"/>
      <c r="RJU49" s="159"/>
      <c r="RJV49" s="159"/>
      <c r="RJW49" s="159"/>
      <c r="RJX49" s="159"/>
      <c r="RJY49" s="159"/>
      <c r="RJZ49" s="159"/>
      <c r="RKA49" s="159"/>
      <c r="RKB49" s="159"/>
      <c r="RKC49" s="159"/>
      <c r="RKD49" s="159"/>
      <c r="RKE49" s="159"/>
      <c r="RKF49" s="159"/>
      <c r="RKG49" s="159"/>
      <c r="RKH49" s="159"/>
      <c r="RKI49" s="159"/>
      <c r="RKJ49" s="159"/>
      <c r="RKK49" s="159"/>
      <c r="RKL49" s="159"/>
      <c r="RKM49" s="159"/>
      <c r="RKN49" s="159"/>
      <c r="RKO49" s="159"/>
      <c r="RKP49" s="159"/>
      <c r="RKQ49" s="159"/>
      <c r="RKR49" s="159"/>
      <c r="RKS49" s="159"/>
      <c r="RKT49" s="159"/>
      <c r="RKU49" s="159"/>
      <c r="RKV49" s="159"/>
      <c r="RKW49" s="159"/>
      <c r="RKX49" s="159"/>
      <c r="RKY49" s="159"/>
      <c r="RKZ49" s="159"/>
      <c r="RLA49" s="159"/>
      <c r="RLB49" s="159"/>
      <c r="RLC49" s="159"/>
      <c r="RLD49" s="159"/>
      <c r="RLE49" s="159"/>
      <c r="RLF49" s="159"/>
      <c r="RLG49" s="159"/>
      <c r="RLH49" s="159"/>
      <c r="RLI49" s="159"/>
      <c r="RLJ49" s="159"/>
      <c r="RLK49" s="159"/>
      <c r="RLL49" s="159"/>
      <c r="RLM49" s="159"/>
      <c r="RLN49" s="159"/>
      <c r="RLO49" s="159"/>
      <c r="RLP49" s="159"/>
      <c r="RLQ49" s="159"/>
      <c r="RLR49" s="159"/>
      <c r="RLS49" s="159"/>
      <c r="RLT49" s="159"/>
      <c r="RLU49" s="159"/>
      <c r="RLV49" s="159"/>
      <c r="RLW49" s="159"/>
      <c r="RLX49" s="159"/>
      <c r="RLY49" s="159"/>
      <c r="RLZ49" s="159"/>
      <c r="RMA49" s="159"/>
      <c r="RMB49" s="159"/>
      <c r="RMC49" s="159"/>
      <c r="RMD49" s="159"/>
      <c r="RME49" s="159"/>
      <c r="RMF49" s="159"/>
      <c r="RMG49" s="159"/>
      <c r="RMH49" s="159"/>
      <c r="RMI49" s="159"/>
      <c r="RMJ49" s="159"/>
      <c r="RMK49" s="159"/>
      <c r="RML49" s="159"/>
      <c r="RMM49" s="159"/>
      <c r="RMN49" s="159"/>
      <c r="RMO49" s="159"/>
      <c r="RMP49" s="159"/>
      <c r="RMQ49" s="159"/>
      <c r="RMR49" s="159"/>
      <c r="RMS49" s="159"/>
      <c r="RMT49" s="159"/>
      <c r="RMU49" s="159"/>
      <c r="RMV49" s="159"/>
      <c r="RMW49" s="159"/>
      <c r="RMX49" s="159"/>
      <c r="RMY49" s="159"/>
      <c r="RMZ49" s="159"/>
      <c r="RNA49" s="159"/>
      <c r="RNB49" s="159"/>
      <c r="RNC49" s="159"/>
      <c r="RND49" s="159"/>
      <c r="RNE49" s="159"/>
      <c r="RNF49" s="159"/>
      <c r="RNG49" s="159"/>
      <c r="RNH49" s="159"/>
      <c r="RNI49" s="159"/>
      <c r="RNJ49" s="159"/>
      <c r="RNK49" s="159"/>
      <c r="RNL49" s="159"/>
      <c r="RNM49" s="159"/>
      <c r="RNN49" s="159"/>
      <c r="RNO49" s="159"/>
      <c r="RNP49" s="159"/>
      <c r="RNQ49" s="159"/>
      <c r="RNR49" s="159"/>
      <c r="RNS49" s="159"/>
      <c r="RNT49" s="159"/>
      <c r="RNU49" s="159"/>
      <c r="RNV49" s="159"/>
      <c r="RNW49" s="159"/>
      <c r="RNX49" s="159"/>
      <c r="RNY49" s="159"/>
      <c r="RNZ49" s="159"/>
      <c r="ROA49" s="159"/>
      <c r="ROB49" s="159"/>
      <c r="ROC49" s="159"/>
      <c r="ROD49" s="159"/>
      <c r="ROE49" s="159"/>
      <c r="ROF49" s="159"/>
      <c r="ROG49" s="159"/>
      <c r="ROH49" s="159"/>
      <c r="ROI49" s="159"/>
      <c r="ROJ49" s="159"/>
      <c r="ROK49" s="159"/>
      <c r="ROL49" s="159"/>
      <c r="ROM49" s="159"/>
      <c r="RON49" s="159"/>
      <c r="ROO49" s="159"/>
      <c r="ROP49" s="159"/>
      <c r="ROQ49" s="159"/>
      <c r="ROR49" s="159"/>
      <c r="ROS49" s="159"/>
      <c r="ROT49" s="159"/>
      <c r="ROU49" s="159"/>
      <c r="ROV49" s="159"/>
      <c r="ROW49" s="159"/>
      <c r="ROX49" s="159"/>
      <c r="ROY49" s="159"/>
      <c r="ROZ49" s="159"/>
      <c r="RPA49" s="159"/>
      <c r="RPB49" s="159"/>
      <c r="RPC49" s="159"/>
      <c r="RPD49" s="159"/>
      <c r="RPE49" s="159"/>
      <c r="RPF49" s="159"/>
      <c r="RPG49" s="159"/>
      <c r="RPH49" s="159"/>
      <c r="RPI49" s="159"/>
      <c r="RPJ49" s="159"/>
      <c r="RPK49" s="159"/>
      <c r="RPL49" s="159"/>
      <c r="RPM49" s="159"/>
      <c r="RPN49" s="159"/>
      <c r="RPO49" s="159"/>
      <c r="RPP49" s="159"/>
      <c r="RPQ49" s="159"/>
      <c r="RPR49" s="159"/>
      <c r="RPS49" s="159"/>
      <c r="RPT49" s="159"/>
      <c r="RPU49" s="159"/>
      <c r="RPV49" s="159"/>
      <c r="RPW49" s="159"/>
      <c r="RPX49" s="159"/>
      <c r="RPY49" s="159"/>
      <c r="RPZ49" s="159"/>
      <c r="RQA49" s="159"/>
      <c r="RQB49" s="159"/>
      <c r="RQC49" s="159"/>
      <c r="RQD49" s="159"/>
      <c r="RQE49" s="159"/>
      <c r="RQF49" s="159"/>
      <c r="RQG49" s="159"/>
      <c r="RQH49" s="159"/>
      <c r="RQI49" s="159"/>
      <c r="RQJ49" s="159"/>
      <c r="RQK49" s="159"/>
      <c r="RQL49" s="159"/>
      <c r="RQM49" s="159"/>
      <c r="RQN49" s="159"/>
      <c r="RQO49" s="159"/>
      <c r="RQP49" s="159"/>
      <c r="RQQ49" s="159"/>
      <c r="RQR49" s="159"/>
      <c r="RQS49" s="159"/>
      <c r="RQT49" s="159"/>
      <c r="RQU49" s="159"/>
      <c r="RQV49" s="159"/>
      <c r="RQW49" s="159"/>
      <c r="RQX49" s="159"/>
      <c r="RQY49" s="159"/>
      <c r="RQZ49" s="159"/>
      <c r="RRA49" s="159"/>
      <c r="RRB49" s="159"/>
      <c r="RRC49" s="159"/>
      <c r="RRD49" s="159"/>
      <c r="RRE49" s="159"/>
      <c r="RRF49" s="159"/>
      <c r="RRG49" s="159"/>
      <c r="RRH49" s="159"/>
      <c r="RRI49" s="159"/>
      <c r="RRJ49" s="159"/>
      <c r="RRK49" s="159"/>
      <c r="RRL49" s="159"/>
      <c r="RRM49" s="159"/>
      <c r="RRN49" s="159"/>
      <c r="RRO49" s="159"/>
      <c r="RRP49" s="159"/>
      <c r="RRQ49" s="159"/>
      <c r="RRR49" s="159"/>
      <c r="RRS49" s="159"/>
      <c r="RRT49" s="159"/>
      <c r="RRU49" s="159"/>
      <c r="RRV49" s="159"/>
      <c r="RRW49" s="159"/>
      <c r="RRX49" s="159"/>
      <c r="RRY49" s="159"/>
      <c r="RRZ49" s="159"/>
      <c r="RSA49" s="159"/>
      <c r="RSB49" s="159"/>
      <c r="RSC49" s="159"/>
      <c r="RSD49" s="159"/>
      <c r="RSE49" s="159"/>
      <c r="RSF49" s="159"/>
      <c r="RSG49" s="159"/>
      <c r="RSH49" s="159"/>
      <c r="RSI49" s="159"/>
      <c r="RSJ49" s="159"/>
      <c r="RSK49" s="159"/>
      <c r="RSL49" s="159"/>
      <c r="RSM49" s="159"/>
      <c r="RSN49" s="159"/>
      <c r="RSO49" s="159"/>
      <c r="RSP49" s="159"/>
      <c r="RSQ49" s="159"/>
      <c r="RSR49" s="159"/>
      <c r="RSS49" s="159"/>
      <c r="RST49" s="159"/>
      <c r="RSU49" s="159"/>
      <c r="RSV49" s="159"/>
      <c r="RSW49" s="159"/>
      <c r="RSX49" s="159"/>
      <c r="RSY49" s="159"/>
      <c r="RSZ49" s="159"/>
      <c r="RTA49" s="159"/>
      <c r="RTB49" s="159"/>
      <c r="RTC49" s="159"/>
      <c r="RTD49" s="159"/>
      <c r="RTE49" s="159"/>
      <c r="RTF49" s="159"/>
      <c r="RTG49" s="159"/>
      <c r="RTH49" s="159"/>
      <c r="RTI49" s="159"/>
      <c r="RTJ49" s="159"/>
      <c r="RTK49" s="159"/>
      <c r="RTL49" s="159"/>
      <c r="RTM49" s="159"/>
      <c r="RTN49" s="159"/>
      <c r="RTO49" s="159"/>
      <c r="RTP49" s="159"/>
      <c r="RTQ49" s="159"/>
      <c r="RTR49" s="159"/>
      <c r="RTS49" s="159"/>
      <c r="RTT49" s="159"/>
      <c r="RTU49" s="159"/>
      <c r="RTV49" s="159"/>
      <c r="RTW49" s="159"/>
      <c r="RTX49" s="159"/>
      <c r="RTY49" s="159"/>
      <c r="RTZ49" s="159"/>
      <c r="RUA49" s="159"/>
      <c r="RUB49" s="159"/>
      <c r="RUC49" s="159"/>
      <c r="RUD49" s="159"/>
      <c r="RUE49" s="159"/>
      <c r="RUF49" s="159"/>
      <c r="RUG49" s="159"/>
      <c r="RUH49" s="159"/>
      <c r="RUI49" s="159"/>
      <c r="RUJ49" s="159"/>
      <c r="RUK49" s="159"/>
      <c r="RUL49" s="159"/>
      <c r="RUM49" s="159"/>
      <c r="RUN49" s="159"/>
      <c r="RUO49" s="159"/>
      <c r="RUP49" s="159"/>
      <c r="RUQ49" s="159"/>
      <c r="RUR49" s="159"/>
      <c r="RUS49" s="159"/>
      <c r="RUT49" s="159"/>
      <c r="RUU49" s="159"/>
      <c r="RUV49" s="159"/>
      <c r="RUW49" s="159"/>
      <c r="RUX49" s="159"/>
      <c r="RUY49" s="159"/>
      <c r="RUZ49" s="159"/>
      <c r="RVA49" s="159"/>
      <c r="RVB49" s="159"/>
      <c r="RVC49" s="159"/>
      <c r="RVD49" s="159"/>
      <c r="RVE49" s="159"/>
      <c r="RVF49" s="159"/>
      <c r="RVG49" s="159"/>
      <c r="RVH49" s="159"/>
      <c r="RVI49" s="159"/>
      <c r="RVJ49" s="159"/>
      <c r="RVK49" s="159"/>
      <c r="RVL49" s="159"/>
      <c r="RVM49" s="159"/>
      <c r="RVN49" s="159"/>
      <c r="RVO49" s="159"/>
      <c r="RVP49" s="159"/>
      <c r="RVQ49" s="159"/>
      <c r="RVR49" s="159"/>
      <c r="RVS49" s="159"/>
      <c r="RVT49" s="159"/>
      <c r="RVU49" s="159"/>
      <c r="RVV49" s="159"/>
      <c r="RVW49" s="159"/>
      <c r="RVX49" s="159"/>
      <c r="RVY49" s="159"/>
      <c r="RVZ49" s="159"/>
      <c r="RWA49" s="159"/>
      <c r="RWB49" s="159"/>
      <c r="RWC49" s="159"/>
      <c r="RWD49" s="159"/>
      <c r="RWE49" s="159"/>
      <c r="RWF49" s="159"/>
      <c r="RWG49" s="159"/>
      <c r="RWH49" s="159"/>
      <c r="RWI49" s="159"/>
      <c r="RWJ49" s="159"/>
      <c r="RWK49" s="159"/>
      <c r="RWL49" s="159"/>
      <c r="RWM49" s="159"/>
      <c r="RWN49" s="159"/>
      <c r="RWO49" s="159"/>
      <c r="RWP49" s="159"/>
      <c r="RWQ49" s="159"/>
      <c r="RWR49" s="159"/>
      <c r="RWS49" s="159"/>
      <c r="RWT49" s="159"/>
      <c r="RWU49" s="159"/>
      <c r="RWV49" s="159"/>
      <c r="RWW49" s="159"/>
      <c r="RWX49" s="159"/>
      <c r="RWY49" s="159"/>
      <c r="RWZ49" s="159"/>
      <c r="RXA49" s="159"/>
      <c r="RXB49" s="159"/>
      <c r="RXC49" s="159"/>
      <c r="RXD49" s="159"/>
      <c r="RXE49" s="159"/>
      <c r="RXF49" s="159"/>
      <c r="RXG49" s="159"/>
      <c r="RXH49" s="159"/>
      <c r="RXI49" s="159"/>
      <c r="RXJ49" s="159"/>
      <c r="RXK49" s="159"/>
      <c r="RXL49" s="159"/>
      <c r="RXM49" s="159"/>
      <c r="RXN49" s="159"/>
      <c r="RXO49" s="159"/>
      <c r="RXP49" s="159"/>
      <c r="RXQ49" s="159"/>
      <c r="RXR49" s="159"/>
      <c r="RXS49" s="159"/>
      <c r="RXT49" s="159"/>
      <c r="RXU49" s="159"/>
      <c r="RXV49" s="159"/>
      <c r="RXW49" s="159"/>
      <c r="RXX49" s="159"/>
      <c r="RXY49" s="159"/>
      <c r="RXZ49" s="159"/>
      <c r="RYA49" s="159"/>
      <c r="RYB49" s="159"/>
      <c r="RYC49" s="159"/>
      <c r="RYD49" s="159"/>
      <c r="RYE49" s="159"/>
      <c r="RYF49" s="159"/>
      <c r="RYG49" s="159"/>
      <c r="RYH49" s="159"/>
      <c r="RYI49" s="159"/>
      <c r="RYJ49" s="159"/>
      <c r="RYK49" s="159"/>
      <c r="RYL49" s="159"/>
      <c r="RYM49" s="159"/>
      <c r="RYN49" s="159"/>
      <c r="RYO49" s="159"/>
      <c r="RYP49" s="159"/>
      <c r="RYQ49" s="159"/>
      <c r="RYR49" s="159"/>
      <c r="RYS49" s="159"/>
      <c r="RYT49" s="159"/>
      <c r="RYU49" s="159"/>
      <c r="RYV49" s="159"/>
      <c r="RYW49" s="159"/>
      <c r="RYX49" s="159"/>
      <c r="RYY49" s="159"/>
      <c r="RYZ49" s="159"/>
      <c r="RZA49" s="159"/>
      <c r="RZB49" s="159"/>
      <c r="RZC49" s="159"/>
      <c r="RZD49" s="159"/>
      <c r="RZE49" s="159"/>
      <c r="RZF49" s="159"/>
      <c r="RZG49" s="159"/>
      <c r="RZH49" s="159"/>
      <c r="RZI49" s="159"/>
      <c r="RZJ49" s="159"/>
      <c r="RZK49" s="159"/>
      <c r="RZL49" s="159"/>
      <c r="RZM49" s="159"/>
      <c r="RZN49" s="159"/>
      <c r="RZO49" s="159"/>
      <c r="RZP49" s="159"/>
      <c r="RZQ49" s="159"/>
      <c r="RZR49" s="159"/>
      <c r="RZS49" s="159"/>
      <c r="RZT49" s="159"/>
      <c r="RZU49" s="159"/>
      <c r="RZV49" s="159"/>
      <c r="RZW49" s="159"/>
      <c r="RZX49" s="159"/>
      <c r="RZY49" s="159"/>
      <c r="RZZ49" s="159"/>
      <c r="SAA49" s="159"/>
      <c r="SAB49" s="159"/>
      <c r="SAC49" s="159"/>
      <c r="SAD49" s="159"/>
      <c r="SAE49" s="159"/>
      <c r="SAF49" s="159"/>
      <c r="SAG49" s="159"/>
      <c r="SAH49" s="159"/>
      <c r="SAI49" s="159"/>
      <c r="SAJ49" s="159"/>
      <c r="SAK49" s="159"/>
      <c r="SAL49" s="159"/>
      <c r="SAM49" s="159"/>
      <c r="SAN49" s="159"/>
      <c r="SAO49" s="159"/>
      <c r="SAP49" s="159"/>
      <c r="SAQ49" s="159"/>
      <c r="SAR49" s="159"/>
      <c r="SAS49" s="159"/>
      <c r="SAT49" s="159"/>
      <c r="SAU49" s="159"/>
      <c r="SAV49" s="159"/>
      <c r="SAW49" s="159"/>
      <c r="SAX49" s="159"/>
      <c r="SAY49" s="159"/>
      <c r="SAZ49" s="159"/>
      <c r="SBA49" s="159"/>
      <c r="SBB49" s="159"/>
      <c r="SBC49" s="159"/>
      <c r="SBD49" s="159"/>
      <c r="SBE49" s="159"/>
      <c r="SBF49" s="159"/>
      <c r="SBG49" s="159"/>
      <c r="SBH49" s="159"/>
      <c r="SBI49" s="159"/>
      <c r="SBJ49" s="159"/>
      <c r="SBK49" s="159"/>
      <c r="SBL49" s="159"/>
      <c r="SBM49" s="159"/>
      <c r="SBN49" s="159"/>
      <c r="SBO49" s="159"/>
      <c r="SBP49" s="159"/>
      <c r="SBQ49" s="159"/>
      <c r="SBR49" s="159"/>
      <c r="SBS49" s="159"/>
      <c r="SBT49" s="159"/>
      <c r="SBU49" s="159"/>
      <c r="SBV49" s="159"/>
      <c r="SBW49" s="159"/>
      <c r="SBX49" s="159"/>
      <c r="SBY49" s="159"/>
      <c r="SBZ49" s="159"/>
      <c r="SCA49" s="159"/>
      <c r="SCB49" s="159"/>
      <c r="SCC49" s="159"/>
      <c r="SCD49" s="159"/>
      <c r="SCE49" s="159"/>
      <c r="SCF49" s="159"/>
      <c r="SCG49" s="159"/>
      <c r="SCH49" s="159"/>
      <c r="SCI49" s="159"/>
      <c r="SCJ49" s="159"/>
      <c r="SCK49" s="159"/>
      <c r="SCL49" s="159"/>
      <c r="SCM49" s="159"/>
      <c r="SCN49" s="159"/>
      <c r="SCO49" s="159"/>
      <c r="SCP49" s="159"/>
      <c r="SCQ49" s="159"/>
      <c r="SCR49" s="159"/>
      <c r="SCS49" s="159"/>
      <c r="SCT49" s="159"/>
      <c r="SCU49" s="159"/>
      <c r="SCV49" s="159"/>
      <c r="SCW49" s="159"/>
      <c r="SCX49" s="159"/>
      <c r="SCY49" s="159"/>
      <c r="SCZ49" s="159"/>
      <c r="SDA49" s="159"/>
      <c r="SDB49" s="159"/>
      <c r="SDC49" s="159"/>
      <c r="SDD49" s="159"/>
      <c r="SDE49" s="159"/>
      <c r="SDF49" s="159"/>
      <c r="SDG49" s="159"/>
      <c r="SDH49" s="159"/>
      <c r="SDI49" s="159"/>
      <c r="SDJ49" s="159"/>
      <c r="SDK49" s="159"/>
      <c r="SDL49" s="159"/>
      <c r="SDM49" s="159"/>
      <c r="SDN49" s="159"/>
      <c r="SDO49" s="159"/>
      <c r="SDP49" s="159"/>
      <c r="SDQ49" s="159"/>
      <c r="SDR49" s="159"/>
      <c r="SDS49" s="159"/>
      <c r="SDT49" s="159"/>
      <c r="SDU49" s="159"/>
      <c r="SDV49" s="159"/>
      <c r="SDW49" s="159"/>
      <c r="SDX49" s="159"/>
      <c r="SDY49" s="159"/>
      <c r="SDZ49" s="159"/>
      <c r="SEA49" s="159"/>
      <c r="SEB49" s="159"/>
      <c r="SEC49" s="159"/>
      <c r="SED49" s="159"/>
      <c r="SEE49" s="159"/>
      <c r="SEF49" s="159"/>
      <c r="SEG49" s="159"/>
      <c r="SEH49" s="159"/>
      <c r="SEI49" s="159"/>
      <c r="SEJ49" s="159"/>
      <c r="SEK49" s="159"/>
      <c r="SEL49" s="159"/>
      <c r="SEM49" s="159"/>
      <c r="SEN49" s="159"/>
      <c r="SEO49" s="159"/>
      <c r="SEP49" s="159"/>
      <c r="SEQ49" s="159"/>
      <c r="SER49" s="159"/>
      <c r="SES49" s="159"/>
      <c r="SET49" s="159"/>
      <c r="SEU49" s="159"/>
      <c r="SEV49" s="159"/>
      <c r="SEW49" s="159"/>
      <c r="SEX49" s="159"/>
      <c r="SEY49" s="159"/>
      <c r="SEZ49" s="159"/>
      <c r="SFA49" s="159"/>
      <c r="SFB49" s="159"/>
      <c r="SFC49" s="159"/>
      <c r="SFD49" s="159"/>
      <c r="SFE49" s="159"/>
      <c r="SFF49" s="159"/>
      <c r="SFG49" s="159"/>
      <c r="SFH49" s="159"/>
      <c r="SFI49" s="159"/>
      <c r="SFJ49" s="159"/>
      <c r="SFK49" s="159"/>
      <c r="SFL49" s="159"/>
      <c r="SFM49" s="159"/>
      <c r="SFN49" s="159"/>
      <c r="SFO49" s="159"/>
      <c r="SFP49" s="159"/>
      <c r="SFQ49" s="159"/>
      <c r="SFR49" s="159"/>
      <c r="SFS49" s="159"/>
      <c r="SFT49" s="159"/>
      <c r="SFU49" s="159"/>
      <c r="SFV49" s="159"/>
      <c r="SFW49" s="159"/>
      <c r="SFX49" s="159"/>
      <c r="SFY49" s="159"/>
      <c r="SFZ49" s="159"/>
      <c r="SGA49" s="159"/>
      <c r="SGB49" s="159"/>
      <c r="SGC49" s="159"/>
      <c r="SGD49" s="159"/>
      <c r="SGE49" s="159"/>
      <c r="SGF49" s="159"/>
      <c r="SGG49" s="159"/>
      <c r="SGH49" s="159"/>
      <c r="SGI49" s="159"/>
      <c r="SGJ49" s="159"/>
      <c r="SGK49" s="159"/>
      <c r="SGL49" s="159"/>
      <c r="SGM49" s="159"/>
      <c r="SGN49" s="159"/>
      <c r="SGO49" s="159"/>
      <c r="SGP49" s="159"/>
      <c r="SGQ49" s="159"/>
      <c r="SGR49" s="159"/>
      <c r="SGS49" s="159"/>
      <c r="SGT49" s="159"/>
      <c r="SGU49" s="159"/>
      <c r="SGV49" s="159"/>
      <c r="SGW49" s="159"/>
      <c r="SGX49" s="159"/>
      <c r="SGY49" s="159"/>
      <c r="SGZ49" s="159"/>
      <c r="SHA49" s="159"/>
      <c r="SHB49" s="159"/>
      <c r="SHC49" s="159"/>
      <c r="SHD49" s="159"/>
      <c r="SHE49" s="159"/>
      <c r="SHF49" s="159"/>
      <c r="SHG49" s="159"/>
      <c r="SHH49" s="159"/>
      <c r="SHI49" s="159"/>
      <c r="SHJ49" s="159"/>
      <c r="SHK49" s="159"/>
      <c r="SHL49" s="159"/>
      <c r="SHM49" s="159"/>
      <c r="SHN49" s="159"/>
      <c r="SHO49" s="159"/>
      <c r="SHP49" s="159"/>
      <c r="SHQ49" s="159"/>
      <c r="SHR49" s="159"/>
      <c r="SHS49" s="159"/>
      <c r="SHT49" s="159"/>
      <c r="SHU49" s="159"/>
      <c r="SHV49" s="159"/>
      <c r="SHW49" s="159"/>
      <c r="SHX49" s="159"/>
      <c r="SHY49" s="159"/>
      <c r="SHZ49" s="159"/>
      <c r="SIA49" s="159"/>
      <c r="SIB49" s="159"/>
      <c r="SIC49" s="159"/>
      <c r="SID49" s="159"/>
      <c r="SIE49" s="159"/>
      <c r="SIF49" s="159"/>
      <c r="SIG49" s="159"/>
      <c r="SIH49" s="159"/>
      <c r="SII49" s="159"/>
      <c r="SIJ49" s="159"/>
      <c r="SIK49" s="159"/>
      <c r="SIL49" s="159"/>
      <c r="SIM49" s="159"/>
      <c r="SIN49" s="159"/>
      <c r="SIO49" s="159"/>
      <c r="SIP49" s="159"/>
      <c r="SIQ49" s="159"/>
      <c r="SIR49" s="159"/>
      <c r="SIS49" s="159"/>
      <c r="SIT49" s="159"/>
      <c r="SIU49" s="159"/>
      <c r="SIV49" s="159"/>
      <c r="SIW49" s="159"/>
      <c r="SIX49" s="159"/>
      <c r="SIY49" s="159"/>
      <c r="SIZ49" s="159"/>
      <c r="SJA49" s="159"/>
      <c r="SJB49" s="159"/>
      <c r="SJC49" s="159"/>
      <c r="SJD49" s="159"/>
      <c r="SJE49" s="159"/>
      <c r="SJF49" s="159"/>
      <c r="SJG49" s="159"/>
      <c r="SJH49" s="159"/>
      <c r="SJI49" s="159"/>
      <c r="SJJ49" s="159"/>
      <c r="SJK49" s="159"/>
      <c r="SJL49" s="159"/>
      <c r="SJM49" s="159"/>
      <c r="SJN49" s="159"/>
      <c r="SJO49" s="159"/>
      <c r="SJP49" s="159"/>
      <c r="SJQ49" s="159"/>
      <c r="SJR49" s="159"/>
      <c r="SJS49" s="159"/>
      <c r="SJT49" s="159"/>
      <c r="SJU49" s="159"/>
      <c r="SJV49" s="159"/>
      <c r="SJW49" s="159"/>
      <c r="SJX49" s="159"/>
      <c r="SJY49" s="159"/>
      <c r="SJZ49" s="159"/>
      <c r="SKA49" s="159"/>
      <c r="SKB49" s="159"/>
      <c r="SKC49" s="159"/>
      <c r="SKD49" s="159"/>
      <c r="SKE49" s="159"/>
      <c r="SKF49" s="159"/>
      <c r="SKG49" s="159"/>
      <c r="SKH49" s="159"/>
      <c r="SKI49" s="159"/>
      <c r="SKJ49" s="159"/>
      <c r="SKK49" s="159"/>
      <c r="SKL49" s="159"/>
      <c r="SKM49" s="159"/>
      <c r="SKN49" s="159"/>
      <c r="SKO49" s="159"/>
      <c r="SKP49" s="159"/>
      <c r="SKQ49" s="159"/>
      <c r="SKR49" s="159"/>
      <c r="SKS49" s="159"/>
      <c r="SKT49" s="159"/>
      <c r="SKU49" s="159"/>
      <c r="SKV49" s="159"/>
      <c r="SKW49" s="159"/>
      <c r="SKX49" s="159"/>
      <c r="SKY49" s="159"/>
      <c r="SKZ49" s="159"/>
      <c r="SLA49" s="159"/>
      <c r="SLB49" s="159"/>
      <c r="SLC49" s="159"/>
      <c r="SLD49" s="159"/>
      <c r="SLE49" s="159"/>
      <c r="SLF49" s="159"/>
      <c r="SLG49" s="159"/>
      <c r="SLH49" s="159"/>
      <c r="SLI49" s="159"/>
      <c r="SLJ49" s="159"/>
      <c r="SLK49" s="159"/>
      <c r="SLL49" s="159"/>
      <c r="SLM49" s="159"/>
      <c r="SLN49" s="159"/>
      <c r="SLO49" s="159"/>
      <c r="SLP49" s="159"/>
      <c r="SLQ49" s="159"/>
      <c r="SLR49" s="159"/>
      <c r="SLS49" s="159"/>
      <c r="SLT49" s="159"/>
      <c r="SLU49" s="159"/>
      <c r="SLV49" s="159"/>
      <c r="SLW49" s="159"/>
      <c r="SLX49" s="159"/>
      <c r="SLY49" s="159"/>
      <c r="SLZ49" s="159"/>
      <c r="SMA49" s="159"/>
      <c r="SMB49" s="159"/>
      <c r="SMC49" s="159"/>
      <c r="SMD49" s="159"/>
      <c r="SME49" s="159"/>
      <c r="SMF49" s="159"/>
      <c r="SMG49" s="159"/>
      <c r="SMH49" s="159"/>
      <c r="SMI49" s="159"/>
      <c r="SMJ49" s="159"/>
      <c r="SMK49" s="159"/>
      <c r="SML49" s="159"/>
      <c r="SMM49" s="159"/>
      <c r="SMN49" s="159"/>
      <c r="SMO49" s="159"/>
      <c r="SMP49" s="159"/>
      <c r="SMQ49" s="159"/>
      <c r="SMR49" s="159"/>
      <c r="SMS49" s="159"/>
      <c r="SMT49" s="159"/>
      <c r="SMU49" s="159"/>
      <c r="SMV49" s="159"/>
      <c r="SMW49" s="159"/>
      <c r="SMX49" s="159"/>
      <c r="SMY49" s="159"/>
      <c r="SMZ49" s="159"/>
      <c r="SNA49" s="159"/>
      <c r="SNB49" s="159"/>
      <c r="SNC49" s="159"/>
      <c r="SND49" s="159"/>
      <c r="SNE49" s="159"/>
      <c r="SNF49" s="159"/>
      <c r="SNG49" s="159"/>
      <c r="SNH49" s="159"/>
      <c r="SNI49" s="159"/>
      <c r="SNJ49" s="159"/>
      <c r="SNK49" s="159"/>
      <c r="SNL49" s="159"/>
      <c r="SNM49" s="159"/>
      <c r="SNN49" s="159"/>
      <c r="SNO49" s="159"/>
      <c r="SNP49" s="159"/>
      <c r="SNQ49" s="159"/>
      <c r="SNR49" s="159"/>
      <c r="SNS49" s="159"/>
      <c r="SNT49" s="159"/>
      <c r="SNU49" s="159"/>
      <c r="SNV49" s="159"/>
      <c r="SNW49" s="159"/>
      <c r="SNX49" s="159"/>
      <c r="SNY49" s="159"/>
      <c r="SNZ49" s="159"/>
      <c r="SOA49" s="159"/>
      <c r="SOB49" s="159"/>
      <c r="SOC49" s="159"/>
      <c r="SOD49" s="159"/>
      <c r="SOE49" s="159"/>
      <c r="SOF49" s="159"/>
      <c r="SOG49" s="159"/>
      <c r="SOH49" s="159"/>
      <c r="SOI49" s="159"/>
      <c r="SOJ49" s="159"/>
      <c r="SOK49" s="159"/>
      <c r="SOL49" s="159"/>
      <c r="SOM49" s="159"/>
      <c r="SON49" s="159"/>
      <c r="SOO49" s="159"/>
      <c r="SOP49" s="159"/>
      <c r="SOQ49" s="159"/>
      <c r="SOR49" s="159"/>
      <c r="SOS49" s="159"/>
      <c r="SOT49" s="159"/>
      <c r="SOU49" s="159"/>
      <c r="SOV49" s="159"/>
      <c r="SOW49" s="159"/>
      <c r="SOX49" s="159"/>
      <c r="SOY49" s="159"/>
      <c r="SOZ49" s="159"/>
      <c r="SPA49" s="159"/>
      <c r="SPB49" s="159"/>
      <c r="SPC49" s="159"/>
      <c r="SPD49" s="159"/>
      <c r="SPE49" s="159"/>
      <c r="SPF49" s="159"/>
      <c r="SPG49" s="159"/>
      <c r="SPH49" s="159"/>
      <c r="SPI49" s="159"/>
      <c r="SPJ49" s="159"/>
      <c r="SPK49" s="159"/>
      <c r="SPL49" s="159"/>
      <c r="SPM49" s="159"/>
      <c r="SPN49" s="159"/>
      <c r="SPO49" s="159"/>
      <c r="SPP49" s="159"/>
      <c r="SPQ49" s="159"/>
      <c r="SPR49" s="159"/>
      <c r="SPS49" s="159"/>
      <c r="SPT49" s="159"/>
      <c r="SPU49" s="159"/>
      <c r="SPV49" s="159"/>
      <c r="SPW49" s="159"/>
      <c r="SPX49" s="159"/>
      <c r="SPY49" s="159"/>
      <c r="SPZ49" s="159"/>
      <c r="SQA49" s="159"/>
      <c r="SQB49" s="159"/>
      <c r="SQC49" s="159"/>
      <c r="SQD49" s="159"/>
      <c r="SQE49" s="159"/>
      <c r="SQF49" s="159"/>
      <c r="SQG49" s="159"/>
      <c r="SQH49" s="159"/>
      <c r="SQI49" s="159"/>
      <c r="SQJ49" s="159"/>
      <c r="SQK49" s="159"/>
      <c r="SQL49" s="159"/>
      <c r="SQM49" s="159"/>
      <c r="SQN49" s="159"/>
      <c r="SQO49" s="159"/>
      <c r="SQP49" s="159"/>
      <c r="SQQ49" s="159"/>
      <c r="SQR49" s="159"/>
      <c r="SQS49" s="159"/>
      <c r="SQT49" s="159"/>
      <c r="SQU49" s="159"/>
      <c r="SQV49" s="159"/>
      <c r="SQW49" s="159"/>
      <c r="SQX49" s="159"/>
      <c r="SQY49" s="159"/>
      <c r="SQZ49" s="159"/>
      <c r="SRA49" s="159"/>
      <c r="SRB49" s="159"/>
      <c r="SRC49" s="159"/>
      <c r="SRD49" s="159"/>
      <c r="SRE49" s="159"/>
      <c r="SRF49" s="159"/>
      <c r="SRG49" s="159"/>
      <c r="SRH49" s="159"/>
      <c r="SRI49" s="159"/>
      <c r="SRJ49" s="159"/>
      <c r="SRK49" s="159"/>
      <c r="SRL49" s="159"/>
      <c r="SRM49" s="159"/>
      <c r="SRN49" s="159"/>
      <c r="SRO49" s="159"/>
      <c r="SRP49" s="159"/>
      <c r="SRQ49" s="159"/>
      <c r="SRR49" s="159"/>
      <c r="SRS49" s="159"/>
      <c r="SRT49" s="159"/>
      <c r="SRU49" s="159"/>
      <c r="SRV49" s="159"/>
      <c r="SRW49" s="159"/>
      <c r="SRX49" s="159"/>
      <c r="SRY49" s="159"/>
      <c r="SRZ49" s="159"/>
      <c r="SSA49" s="159"/>
      <c r="SSB49" s="159"/>
      <c r="SSC49" s="159"/>
      <c r="SSD49" s="159"/>
      <c r="SSE49" s="159"/>
      <c r="SSF49" s="159"/>
      <c r="SSG49" s="159"/>
      <c r="SSH49" s="159"/>
      <c r="SSI49" s="159"/>
      <c r="SSJ49" s="159"/>
      <c r="SSK49" s="159"/>
      <c r="SSL49" s="159"/>
      <c r="SSM49" s="159"/>
      <c r="SSN49" s="159"/>
      <c r="SSO49" s="159"/>
      <c r="SSP49" s="159"/>
      <c r="SSQ49" s="159"/>
      <c r="SSR49" s="159"/>
      <c r="SSS49" s="159"/>
      <c r="SST49" s="159"/>
      <c r="SSU49" s="159"/>
      <c r="SSV49" s="159"/>
      <c r="SSW49" s="159"/>
      <c r="SSX49" s="159"/>
      <c r="SSY49" s="159"/>
      <c r="SSZ49" s="159"/>
      <c r="STA49" s="159"/>
      <c r="STB49" s="159"/>
      <c r="STC49" s="159"/>
      <c r="STD49" s="159"/>
      <c r="STE49" s="159"/>
      <c r="STF49" s="159"/>
      <c r="STG49" s="159"/>
      <c r="STH49" s="159"/>
      <c r="STI49" s="159"/>
      <c r="STJ49" s="159"/>
      <c r="STK49" s="159"/>
      <c r="STL49" s="159"/>
      <c r="STM49" s="159"/>
      <c r="STN49" s="159"/>
      <c r="STO49" s="159"/>
      <c r="STP49" s="159"/>
      <c r="STQ49" s="159"/>
      <c r="STR49" s="159"/>
      <c r="STS49" s="159"/>
      <c r="STT49" s="159"/>
      <c r="STU49" s="159"/>
      <c r="STV49" s="159"/>
      <c r="STW49" s="159"/>
      <c r="STX49" s="159"/>
      <c r="STY49" s="159"/>
      <c r="STZ49" s="159"/>
      <c r="SUA49" s="159"/>
      <c r="SUB49" s="159"/>
      <c r="SUC49" s="159"/>
      <c r="SUD49" s="159"/>
      <c r="SUE49" s="159"/>
      <c r="SUF49" s="159"/>
      <c r="SUG49" s="159"/>
      <c r="SUH49" s="159"/>
      <c r="SUI49" s="159"/>
      <c r="SUJ49" s="159"/>
      <c r="SUK49" s="159"/>
      <c r="SUL49" s="159"/>
      <c r="SUM49" s="159"/>
      <c r="SUN49" s="159"/>
      <c r="SUO49" s="159"/>
      <c r="SUP49" s="159"/>
      <c r="SUQ49" s="159"/>
      <c r="SUR49" s="159"/>
      <c r="SUS49" s="159"/>
      <c r="SUT49" s="159"/>
      <c r="SUU49" s="159"/>
      <c r="SUV49" s="159"/>
      <c r="SUW49" s="159"/>
      <c r="SUX49" s="159"/>
      <c r="SUY49" s="159"/>
      <c r="SUZ49" s="159"/>
      <c r="SVA49" s="159"/>
      <c r="SVB49" s="159"/>
      <c r="SVC49" s="159"/>
      <c r="SVD49" s="159"/>
      <c r="SVE49" s="159"/>
      <c r="SVF49" s="159"/>
      <c r="SVG49" s="159"/>
      <c r="SVH49" s="159"/>
      <c r="SVI49" s="159"/>
      <c r="SVJ49" s="159"/>
      <c r="SVK49" s="159"/>
      <c r="SVL49" s="159"/>
      <c r="SVM49" s="159"/>
      <c r="SVN49" s="159"/>
      <c r="SVO49" s="159"/>
      <c r="SVP49" s="159"/>
      <c r="SVQ49" s="159"/>
      <c r="SVR49" s="159"/>
      <c r="SVS49" s="159"/>
      <c r="SVT49" s="159"/>
      <c r="SVU49" s="159"/>
      <c r="SVV49" s="159"/>
      <c r="SVW49" s="159"/>
      <c r="SVX49" s="159"/>
      <c r="SVY49" s="159"/>
      <c r="SVZ49" s="159"/>
      <c r="SWA49" s="159"/>
      <c r="SWB49" s="159"/>
      <c r="SWC49" s="159"/>
      <c r="SWD49" s="159"/>
      <c r="SWE49" s="159"/>
      <c r="SWF49" s="159"/>
      <c r="SWG49" s="159"/>
      <c r="SWH49" s="159"/>
      <c r="SWI49" s="159"/>
      <c r="SWJ49" s="159"/>
      <c r="SWK49" s="159"/>
      <c r="SWL49" s="159"/>
      <c r="SWM49" s="159"/>
      <c r="SWN49" s="159"/>
      <c r="SWO49" s="159"/>
      <c r="SWP49" s="159"/>
      <c r="SWQ49" s="159"/>
      <c r="SWR49" s="159"/>
      <c r="SWS49" s="159"/>
      <c r="SWT49" s="159"/>
      <c r="SWU49" s="159"/>
      <c r="SWV49" s="159"/>
      <c r="SWW49" s="159"/>
      <c r="SWX49" s="159"/>
      <c r="SWY49" s="159"/>
      <c r="SWZ49" s="159"/>
      <c r="SXA49" s="159"/>
      <c r="SXB49" s="159"/>
      <c r="SXC49" s="159"/>
      <c r="SXD49" s="159"/>
      <c r="SXE49" s="159"/>
      <c r="SXF49" s="159"/>
      <c r="SXG49" s="159"/>
      <c r="SXH49" s="159"/>
      <c r="SXI49" s="159"/>
      <c r="SXJ49" s="159"/>
      <c r="SXK49" s="159"/>
      <c r="SXL49" s="159"/>
      <c r="SXM49" s="159"/>
      <c r="SXN49" s="159"/>
      <c r="SXO49" s="159"/>
      <c r="SXP49" s="159"/>
      <c r="SXQ49" s="159"/>
      <c r="SXR49" s="159"/>
      <c r="SXS49" s="159"/>
      <c r="SXT49" s="159"/>
      <c r="SXU49" s="159"/>
      <c r="SXV49" s="159"/>
      <c r="SXW49" s="159"/>
      <c r="SXX49" s="159"/>
      <c r="SXY49" s="159"/>
      <c r="SXZ49" s="159"/>
      <c r="SYA49" s="159"/>
      <c r="SYB49" s="159"/>
      <c r="SYC49" s="159"/>
      <c r="SYD49" s="159"/>
      <c r="SYE49" s="159"/>
      <c r="SYF49" s="159"/>
      <c r="SYG49" s="159"/>
      <c r="SYH49" s="159"/>
      <c r="SYI49" s="159"/>
      <c r="SYJ49" s="159"/>
      <c r="SYK49" s="159"/>
      <c r="SYL49" s="159"/>
      <c r="SYM49" s="159"/>
      <c r="SYN49" s="159"/>
      <c r="SYO49" s="159"/>
      <c r="SYP49" s="159"/>
      <c r="SYQ49" s="159"/>
      <c r="SYR49" s="159"/>
      <c r="SYS49" s="159"/>
      <c r="SYT49" s="159"/>
      <c r="SYU49" s="159"/>
      <c r="SYV49" s="159"/>
      <c r="SYW49" s="159"/>
      <c r="SYX49" s="159"/>
      <c r="SYY49" s="159"/>
      <c r="SYZ49" s="159"/>
      <c r="SZA49" s="159"/>
      <c r="SZB49" s="159"/>
      <c r="SZC49" s="159"/>
      <c r="SZD49" s="159"/>
      <c r="SZE49" s="159"/>
      <c r="SZF49" s="159"/>
      <c r="SZG49" s="159"/>
      <c r="SZH49" s="159"/>
      <c r="SZI49" s="159"/>
      <c r="SZJ49" s="159"/>
      <c r="SZK49" s="159"/>
      <c r="SZL49" s="159"/>
      <c r="SZM49" s="159"/>
      <c r="SZN49" s="159"/>
      <c r="SZO49" s="159"/>
      <c r="SZP49" s="159"/>
      <c r="SZQ49" s="159"/>
      <c r="SZR49" s="159"/>
      <c r="SZS49" s="159"/>
      <c r="SZT49" s="159"/>
      <c r="SZU49" s="159"/>
      <c r="SZV49" s="159"/>
      <c r="SZW49" s="159"/>
      <c r="SZX49" s="159"/>
      <c r="SZY49" s="159"/>
      <c r="SZZ49" s="159"/>
      <c r="TAA49" s="159"/>
      <c r="TAB49" s="159"/>
      <c r="TAC49" s="159"/>
      <c r="TAD49" s="159"/>
      <c r="TAE49" s="159"/>
      <c r="TAF49" s="159"/>
      <c r="TAG49" s="159"/>
      <c r="TAH49" s="159"/>
      <c r="TAI49" s="159"/>
      <c r="TAJ49" s="159"/>
      <c r="TAK49" s="159"/>
      <c r="TAL49" s="159"/>
      <c r="TAM49" s="159"/>
      <c r="TAN49" s="159"/>
      <c r="TAO49" s="159"/>
      <c r="TAP49" s="159"/>
      <c r="TAQ49" s="159"/>
      <c r="TAR49" s="159"/>
      <c r="TAS49" s="159"/>
      <c r="TAT49" s="159"/>
      <c r="TAU49" s="159"/>
      <c r="TAV49" s="159"/>
      <c r="TAW49" s="159"/>
      <c r="TAX49" s="159"/>
      <c r="TAY49" s="159"/>
      <c r="TAZ49" s="159"/>
      <c r="TBA49" s="159"/>
      <c r="TBB49" s="159"/>
      <c r="TBC49" s="159"/>
      <c r="TBD49" s="159"/>
      <c r="TBE49" s="159"/>
      <c r="TBF49" s="159"/>
      <c r="TBG49" s="159"/>
      <c r="TBH49" s="159"/>
      <c r="TBI49" s="159"/>
      <c r="TBJ49" s="159"/>
      <c r="TBK49" s="159"/>
      <c r="TBL49" s="159"/>
      <c r="TBM49" s="159"/>
      <c r="TBN49" s="159"/>
      <c r="TBO49" s="159"/>
      <c r="TBP49" s="159"/>
      <c r="TBQ49" s="159"/>
      <c r="TBR49" s="159"/>
      <c r="TBS49" s="159"/>
      <c r="TBT49" s="159"/>
      <c r="TBU49" s="159"/>
      <c r="TBV49" s="159"/>
      <c r="TBW49" s="159"/>
      <c r="TBX49" s="159"/>
      <c r="TBY49" s="159"/>
      <c r="TBZ49" s="159"/>
      <c r="TCA49" s="159"/>
      <c r="TCB49" s="159"/>
      <c r="TCC49" s="159"/>
      <c r="TCD49" s="159"/>
      <c r="TCE49" s="159"/>
      <c r="TCF49" s="159"/>
      <c r="TCG49" s="159"/>
      <c r="TCH49" s="159"/>
      <c r="TCI49" s="159"/>
      <c r="TCJ49" s="159"/>
      <c r="TCK49" s="159"/>
      <c r="TCL49" s="159"/>
      <c r="TCM49" s="159"/>
      <c r="TCN49" s="159"/>
      <c r="TCO49" s="159"/>
      <c r="TCP49" s="159"/>
      <c r="TCQ49" s="159"/>
      <c r="TCR49" s="159"/>
      <c r="TCS49" s="159"/>
      <c r="TCT49" s="159"/>
      <c r="TCU49" s="159"/>
      <c r="TCV49" s="159"/>
      <c r="TCW49" s="159"/>
      <c r="TCX49" s="159"/>
      <c r="TCY49" s="159"/>
      <c r="TCZ49" s="159"/>
      <c r="TDA49" s="159"/>
      <c r="TDB49" s="159"/>
      <c r="TDC49" s="159"/>
      <c r="TDD49" s="159"/>
      <c r="TDE49" s="159"/>
      <c r="TDF49" s="159"/>
      <c r="TDG49" s="159"/>
      <c r="TDH49" s="159"/>
      <c r="TDI49" s="159"/>
      <c r="TDJ49" s="159"/>
      <c r="TDK49" s="159"/>
      <c r="TDL49" s="159"/>
      <c r="TDM49" s="159"/>
      <c r="TDN49" s="159"/>
      <c r="TDO49" s="159"/>
      <c r="TDP49" s="159"/>
      <c r="TDQ49" s="159"/>
      <c r="TDR49" s="159"/>
      <c r="TDS49" s="159"/>
      <c r="TDT49" s="159"/>
      <c r="TDU49" s="159"/>
      <c r="TDV49" s="159"/>
      <c r="TDW49" s="159"/>
      <c r="TDX49" s="159"/>
      <c r="TDY49" s="159"/>
      <c r="TDZ49" s="159"/>
      <c r="TEA49" s="159"/>
      <c r="TEB49" s="159"/>
      <c r="TEC49" s="159"/>
      <c r="TED49" s="159"/>
      <c r="TEE49" s="159"/>
      <c r="TEF49" s="159"/>
      <c r="TEG49" s="159"/>
      <c r="TEH49" s="159"/>
      <c r="TEI49" s="159"/>
      <c r="TEJ49" s="159"/>
      <c r="TEK49" s="159"/>
      <c r="TEL49" s="159"/>
      <c r="TEM49" s="159"/>
      <c r="TEN49" s="159"/>
      <c r="TEO49" s="159"/>
      <c r="TEP49" s="159"/>
      <c r="TEQ49" s="159"/>
      <c r="TER49" s="159"/>
      <c r="TES49" s="159"/>
      <c r="TET49" s="159"/>
      <c r="TEU49" s="159"/>
      <c r="TEV49" s="159"/>
      <c r="TEW49" s="159"/>
      <c r="TEX49" s="159"/>
      <c r="TEY49" s="159"/>
      <c r="TEZ49" s="159"/>
      <c r="TFA49" s="159"/>
      <c r="TFB49" s="159"/>
      <c r="TFC49" s="159"/>
      <c r="TFD49" s="159"/>
      <c r="TFE49" s="159"/>
      <c r="TFF49" s="159"/>
      <c r="TFG49" s="159"/>
      <c r="TFH49" s="159"/>
      <c r="TFI49" s="159"/>
      <c r="TFJ49" s="159"/>
      <c r="TFK49" s="159"/>
      <c r="TFL49" s="159"/>
      <c r="TFM49" s="159"/>
      <c r="TFN49" s="159"/>
      <c r="TFO49" s="159"/>
      <c r="TFP49" s="159"/>
      <c r="TFQ49" s="159"/>
      <c r="TFR49" s="159"/>
      <c r="TFS49" s="159"/>
      <c r="TFT49" s="159"/>
      <c r="TFU49" s="159"/>
      <c r="TFV49" s="159"/>
      <c r="TFW49" s="159"/>
      <c r="TFX49" s="159"/>
      <c r="TFY49" s="159"/>
      <c r="TFZ49" s="159"/>
      <c r="TGA49" s="159"/>
      <c r="TGB49" s="159"/>
      <c r="TGC49" s="159"/>
      <c r="TGD49" s="159"/>
      <c r="TGE49" s="159"/>
      <c r="TGF49" s="159"/>
      <c r="TGG49" s="159"/>
      <c r="TGH49" s="159"/>
      <c r="TGI49" s="159"/>
      <c r="TGJ49" s="159"/>
      <c r="TGK49" s="159"/>
      <c r="TGL49" s="159"/>
      <c r="TGM49" s="159"/>
      <c r="TGN49" s="159"/>
      <c r="TGO49" s="159"/>
      <c r="TGP49" s="159"/>
      <c r="TGQ49" s="159"/>
      <c r="TGR49" s="159"/>
      <c r="TGS49" s="159"/>
      <c r="TGT49" s="159"/>
      <c r="TGU49" s="159"/>
      <c r="TGV49" s="159"/>
      <c r="TGW49" s="159"/>
      <c r="TGX49" s="159"/>
      <c r="TGY49" s="159"/>
      <c r="TGZ49" s="159"/>
      <c r="THA49" s="159"/>
      <c r="THB49" s="159"/>
      <c r="THC49" s="159"/>
      <c r="THD49" s="159"/>
      <c r="THE49" s="159"/>
      <c r="THF49" s="159"/>
      <c r="THG49" s="159"/>
      <c r="THH49" s="159"/>
      <c r="THI49" s="159"/>
      <c r="THJ49" s="159"/>
      <c r="THK49" s="159"/>
      <c r="THL49" s="159"/>
      <c r="THM49" s="159"/>
      <c r="THN49" s="159"/>
      <c r="THO49" s="159"/>
      <c r="THP49" s="159"/>
      <c r="THQ49" s="159"/>
      <c r="THR49" s="159"/>
      <c r="THS49" s="159"/>
      <c r="THT49" s="159"/>
      <c r="THU49" s="159"/>
      <c r="THV49" s="159"/>
      <c r="THW49" s="159"/>
      <c r="THX49" s="159"/>
      <c r="THY49" s="159"/>
      <c r="THZ49" s="159"/>
      <c r="TIA49" s="159"/>
      <c r="TIB49" s="159"/>
      <c r="TIC49" s="159"/>
      <c r="TID49" s="159"/>
      <c r="TIE49" s="159"/>
      <c r="TIF49" s="159"/>
      <c r="TIG49" s="159"/>
      <c r="TIH49" s="159"/>
      <c r="TII49" s="159"/>
      <c r="TIJ49" s="159"/>
      <c r="TIK49" s="159"/>
      <c r="TIL49" s="159"/>
      <c r="TIM49" s="159"/>
      <c r="TIN49" s="159"/>
      <c r="TIO49" s="159"/>
      <c r="TIP49" s="159"/>
      <c r="TIQ49" s="159"/>
      <c r="TIR49" s="159"/>
      <c r="TIS49" s="159"/>
      <c r="TIT49" s="159"/>
      <c r="TIU49" s="159"/>
      <c r="TIV49" s="159"/>
      <c r="TIW49" s="159"/>
      <c r="TIX49" s="159"/>
      <c r="TIY49" s="159"/>
      <c r="TIZ49" s="159"/>
      <c r="TJA49" s="159"/>
      <c r="TJB49" s="159"/>
      <c r="TJC49" s="159"/>
      <c r="TJD49" s="159"/>
      <c r="TJE49" s="159"/>
      <c r="TJF49" s="159"/>
      <c r="TJG49" s="159"/>
      <c r="TJH49" s="159"/>
      <c r="TJI49" s="159"/>
      <c r="TJJ49" s="159"/>
      <c r="TJK49" s="159"/>
      <c r="TJL49" s="159"/>
      <c r="TJM49" s="159"/>
      <c r="TJN49" s="159"/>
      <c r="TJO49" s="159"/>
      <c r="TJP49" s="159"/>
      <c r="TJQ49" s="159"/>
      <c r="TJR49" s="159"/>
      <c r="TJS49" s="159"/>
      <c r="TJT49" s="159"/>
      <c r="TJU49" s="159"/>
      <c r="TJV49" s="159"/>
      <c r="TJW49" s="159"/>
      <c r="TJX49" s="159"/>
      <c r="TJY49" s="159"/>
      <c r="TJZ49" s="159"/>
      <c r="TKA49" s="159"/>
      <c r="TKB49" s="159"/>
      <c r="TKC49" s="159"/>
      <c r="TKD49" s="159"/>
      <c r="TKE49" s="159"/>
      <c r="TKF49" s="159"/>
      <c r="TKG49" s="159"/>
      <c r="TKH49" s="159"/>
      <c r="TKI49" s="159"/>
      <c r="TKJ49" s="159"/>
      <c r="TKK49" s="159"/>
      <c r="TKL49" s="159"/>
      <c r="TKM49" s="159"/>
      <c r="TKN49" s="159"/>
      <c r="TKO49" s="159"/>
      <c r="TKP49" s="159"/>
      <c r="TKQ49" s="159"/>
      <c r="TKR49" s="159"/>
      <c r="TKS49" s="159"/>
      <c r="TKT49" s="159"/>
      <c r="TKU49" s="159"/>
      <c r="TKV49" s="159"/>
      <c r="TKW49" s="159"/>
      <c r="TKX49" s="159"/>
      <c r="TKY49" s="159"/>
      <c r="TKZ49" s="159"/>
      <c r="TLA49" s="159"/>
      <c r="TLB49" s="159"/>
      <c r="TLC49" s="159"/>
      <c r="TLD49" s="159"/>
      <c r="TLE49" s="159"/>
      <c r="TLF49" s="159"/>
      <c r="TLG49" s="159"/>
      <c r="TLH49" s="159"/>
      <c r="TLI49" s="159"/>
      <c r="TLJ49" s="159"/>
      <c r="TLK49" s="159"/>
      <c r="TLL49" s="159"/>
      <c r="TLM49" s="159"/>
      <c r="TLN49" s="159"/>
      <c r="TLO49" s="159"/>
      <c r="TLP49" s="159"/>
      <c r="TLQ49" s="159"/>
      <c r="TLR49" s="159"/>
      <c r="TLS49" s="159"/>
      <c r="TLT49" s="159"/>
      <c r="TLU49" s="159"/>
      <c r="TLV49" s="159"/>
      <c r="TLW49" s="159"/>
      <c r="TLX49" s="159"/>
      <c r="TLY49" s="159"/>
      <c r="TLZ49" s="159"/>
      <c r="TMA49" s="159"/>
      <c r="TMB49" s="159"/>
      <c r="TMC49" s="159"/>
      <c r="TMD49" s="159"/>
      <c r="TME49" s="159"/>
      <c r="TMF49" s="159"/>
      <c r="TMG49" s="159"/>
      <c r="TMH49" s="159"/>
      <c r="TMI49" s="159"/>
      <c r="TMJ49" s="159"/>
      <c r="TMK49" s="159"/>
      <c r="TML49" s="159"/>
      <c r="TMM49" s="159"/>
      <c r="TMN49" s="159"/>
      <c r="TMO49" s="159"/>
      <c r="TMP49" s="159"/>
      <c r="TMQ49" s="159"/>
      <c r="TMR49" s="159"/>
      <c r="TMS49" s="159"/>
      <c r="TMT49" s="159"/>
      <c r="TMU49" s="159"/>
      <c r="TMV49" s="159"/>
      <c r="TMW49" s="159"/>
      <c r="TMX49" s="159"/>
      <c r="TMY49" s="159"/>
      <c r="TMZ49" s="159"/>
      <c r="TNA49" s="159"/>
      <c r="TNB49" s="159"/>
      <c r="TNC49" s="159"/>
      <c r="TND49" s="159"/>
      <c r="TNE49" s="159"/>
      <c r="TNF49" s="159"/>
      <c r="TNG49" s="159"/>
      <c r="TNH49" s="159"/>
      <c r="TNI49" s="159"/>
      <c r="TNJ49" s="159"/>
      <c r="TNK49" s="159"/>
      <c r="TNL49" s="159"/>
      <c r="TNM49" s="159"/>
      <c r="TNN49" s="159"/>
      <c r="TNO49" s="159"/>
      <c r="TNP49" s="159"/>
      <c r="TNQ49" s="159"/>
      <c r="TNR49" s="159"/>
      <c r="TNS49" s="159"/>
      <c r="TNT49" s="159"/>
      <c r="TNU49" s="159"/>
      <c r="TNV49" s="159"/>
      <c r="TNW49" s="159"/>
      <c r="TNX49" s="159"/>
      <c r="TNY49" s="159"/>
      <c r="TNZ49" s="159"/>
      <c r="TOA49" s="159"/>
      <c r="TOB49" s="159"/>
      <c r="TOC49" s="159"/>
      <c r="TOD49" s="159"/>
      <c r="TOE49" s="159"/>
      <c r="TOF49" s="159"/>
      <c r="TOG49" s="159"/>
      <c r="TOH49" s="159"/>
      <c r="TOI49" s="159"/>
      <c r="TOJ49" s="159"/>
      <c r="TOK49" s="159"/>
      <c r="TOL49" s="159"/>
      <c r="TOM49" s="159"/>
      <c r="TON49" s="159"/>
      <c r="TOO49" s="159"/>
      <c r="TOP49" s="159"/>
      <c r="TOQ49" s="159"/>
      <c r="TOR49" s="159"/>
      <c r="TOS49" s="159"/>
      <c r="TOT49" s="159"/>
      <c r="TOU49" s="159"/>
      <c r="TOV49" s="159"/>
      <c r="TOW49" s="159"/>
      <c r="TOX49" s="159"/>
      <c r="TOY49" s="159"/>
      <c r="TOZ49" s="159"/>
      <c r="TPA49" s="159"/>
      <c r="TPB49" s="159"/>
      <c r="TPC49" s="159"/>
      <c r="TPD49" s="159"/>
      <c r="TPE49" s="159"/>
      <c r="TPF49" s="159"/>
      <c r="TPG49" s="159"/>
      <c r="TPH49" s="159"/>
      <c r="TPI49" s="159"/>
      <c r="TPJ49" s="159"/>
      <c r="TPK49" s="159"/>
      <c r="TPL49" s="159"/>
      <c r="TPM49" s="159"/>
      <c r="TPN49" s="159"/>
      <c r="TPO49" s="159"/>
      <c r="TPP49" s="159"/>
      <c r="TPQ49" s="159"/>
      <c r="TPR49" s="159"/>
      <c r="TPS49" s="159"/>
      <c r="TPT49" s="159"/>
      <c r="TPU49" s="159"/>
      <c r="TPV49" s="159"/>
      <c r="TPW49" s="159"/>
      <c r="TPX49" s="159"/>
      <c r="TPY49" s="159"/>
      <c r="TPZ49" s="159"/>
      <c r="TQA49" s="159"/>
      <c r="TQB49" s="159"/>
      <c r="TQC49" s="159"/>
      <c r="TQD49" s="159"/>
      <c r="TQE49" s="159"/>
      <c r="TQF49" s="159"/>
      <c r="TQG49" s="159"/>
      <c r="TQH49" s="159"/>
      <c r="TQI49" s="159"/>
      <c r="TQJ49" s="159"/>
      <c r="TQK49" s="159"/>
      <c r="TQL49" s="159"/>
      <c r="TQM49" s="159"/>
      <c r="TQN49" s="159"/>
      <c r="TQO49" s="159"/>
      <c r="TQP49" s="159"/>
      <c r="TQQ49" s="159"/>
      <c r="TQR49" s="159"/>
      <c r="TQS49" s="159"/>
      <c r="TQT49" s="159"/>
      <c r="TQU49" s="159"/>
      <c r="TQV49" s="159"/>
      <c r="TQW49" s="159"/>
      <c r="TQX49" s="159"/>
      <c r="TQY49" s="159"/>
      <c r="TQZ49" s="159"/>
      <c r="TRA49" s="159"/>
      <c r="TRB49" s="159"/>
      <c r="TRC49" s="159"/>
      <c r="TRD49" s="159"/>
      <c r="TRE49" s="159"/>
      <c r="TRF49" s="159"/>
      <c r="TRG49" s="159"/>
      <c r="TRH49" s="159"/>
      <c r="TRI49" s="159"/>
      <c r="TRJ49" s="159"/>
      <c r="TRK49" s="159"/>
      <c r="TRL49" s="159"/>
      <c r="TRM49" s="159"/>
      <c r="TRN49" s="159"/>
      <c r="TRO49" s="159"/>
      <c r="TRP49" s="159"/>
      <c r="TRQ49" s="159"/>
      <c r="TRR49" s="159"/>
      <c r="TRS49" s="159"/>
      <c r="TRT49" s="159"/>
      <c r="TRU49" s="159"/>
      <c r="TRV49" s="159"/>
      <c r="TRW49" s="159"/>
      <c r="TRX49" s="159"/>
      <c r="TRY49" s="159"/>
      <c r="TRZ49" s="159"/>
      <c r="TSA49" s="159"/>
      <c r="TSB49" s="159"/>
      <c r="TSC49" s="159"/>
      <c r="TSD49" s="159"/>
      <c r="TSE49" s="159"/>
      <c r="TSF49" s="159"/>
      <c r="TSG49" s="159"/>
      <c r="TSH49" s="159"/>
      <c r="TSI49" s="159"/>
      <c r="TSJ49" s="159"/>
      <c r="TSK49" s="159"/>
      <c r="TSL49" s="159"/>
      <c r="TSM49" s="159"/>
      <c r="TSN49" s="159"/>
      <c r="TSO49" s="159"/>
      <c r="TSP49" s="159"/>
      <c r="TSQ49" s="159"/>
      <c r="TSR49" s="159"/>
      <c r="TSS49" s="159"/>
      <c r="TST49" s="159"/>
      <c r="TSU49" s="159"/>
      <c r="TSV49" s="159"/>
      <c r="TSW49" s="159"/>
      <c r="TSX49" s="159"/>
      <c r="TSY49" s="159"/>
      <c r="TSZ49" s="159"/>
      <c r="TTA49" s="159"/>
      <c r="TTB49" s="159"/>
      <c r="TTC49" s="159"/>
      <c r="TTD49" s="159"/>
      <c r="TTE49" s="159"/>
      <c r="TTF49" s="159"/>
      <c r="TTG49" s="159"/>
      <c r="TTH49" s="159"/>
      <c r="TTI49" s="159"/>
      <c r="TTJ49" s="159"/>
      <c r="TTK49" s="159"/>
      <c r="TTL49" s="159"/>
      <c r="TTM49" s="159"/>
      <c r="TTN49" s="159"/>
      <c r="TTO49" s="159"/>
      <c r="TTP49" s="159"/>
      <c r="TTQ49" s="159"/>
      <c r="TTR49" s="159"/>
      <c r="TTS49" s="159"/>
      <c r="TTT49" s="159"/>
      <c r="TTU49" s="159"/>
      <c r="TTV49" s="159"/>
      <c r="TTW49" s="159"/>
      <c r="TTX49" s="159"/>
      <c r="TTY49" s="159"/>
      <c r="TTZ49" s="159"/>
      <c r="TUA49" s="159"/>
      <c r="TUB49" s="159"/>
      <c r="TUC49" s="159"/>
      <c r="TUD49" s="159"/>
      <c r="TUE49" s="159"/>
      <c r="TUF49" s="159"/>
      <c r="TUG49" s="159"/>
      <c r="TUH49" s="159"/>
      <c r="TUI49" s="159"/>
      <c r="TUJ49" s="159"/>
      <c r="TUK49" s="159"/>
      <c r="TUL49" s="159"/>
      <c r="TUM49" s="159"/>
      <c r="TUN49" s="159"/>
      <c r="TUO49" s="159"/>
      <c r="TUP49" s="159"/>
      <c r="TUQ49" s="159"/>
      <c r="TUR49" s="159"/>
      <c r="TUS49" s="159"/>
      <c r="TUT49" s="159"/>
      <c r="TUU49" s="159"/>
      <c r="TUV49" s="159"/>
      <c r="TUW49" s="159"/>
      <c r="TUX49" s="159"/>
      <c r="TUY49" s="159"/>
      <c r="TUZ49" s="159"/>
      <c r="TVA49" s="159"/>
      <c r="TVB49" s="159"/>
      <c r="TVC49" s="159"/>
      <c r="TVD49" s="159"/>
      <c r="TVE49" s="159"/>
      <c r="TVF49" s="159"/>
      <c r="TVG49" s="159"/>
      <c r="TVH49" s="159"/>
      <c r="TVI49" s="159"/>
      <c r="TVJ49" s="159"/>
      <c r="TVK49" s="159"/>
      <c r="TVL49" s="159"/>
      <c r="TVM49" s="159"/>
      <c r="TVN49" s="159"/>
      <c r="TVO49" s="159"/>
      <c r="TVP49" s="159"/>
      <c r="TVQ49" s="159"/>
      <c r="TVR49" s="159"/>
      <c r="TVS49" s="159"/>
      <c r="TVT49" s="159"/>
      <c r="TVU49" s="159"/>
      <c r="TVV49" s="159"/>
      <c r="TVW49" s="159"/>
      <c r="TVX49" s="159"/>
      <c r="TVY49" s="159"/>
      <c r="TVZ49" s="159"/>
      <c r="TWA49" s="159"/>
      <c r="TWB49" s="159"/>
      <c r="TWC49" s="159"/>
      <c r="TWD49" s="159"/>
      <c r="TWE49" s="159"/>
      <c r="TWF49" s="159"/>
      <c r="TWG49" s="159"/>
      <c r="TWH49" s="159"/>
      <c r="TWI49" s="159"/>
      <c r="TWJ49" s="159"/>
      <c r="TWK49" s="159"/>
      <c r="TWL49" s="159"/>
      <c r="TWM49" s="159"/>
      <c r="TWN49" s="159"/>
      <c r="TWO49" s="159"/>
      <c r="TWP49" s="159"/>
      <c r="TWQ49" s="159"/>
      <c r="TWR49" s="159"/>
      <c r="TWS49" s="159"/>
      <c r="TWT49" s="159"/>
      <c r="TWU49" s="159"/>
      <c r="TWV49" s="159"/>
      <c r="TWW49" s="159"/>
      <c r="TWX49" s="159"/>
      <c r="TWY49" s="159"/>
      <c r="TWZ49" s="159"/>
      <c r="TXA49" s="159"/>
      <c r="TXB49" s="159"/>
      <c r="TXC49" s="159"/>
      <c r="TXD49" s="159"/>
      <c r="TXE49" s="159"/>
      <c r="TXF49" s="159"/>
      <c r="TXG49" s="159"/>
      <c r="TXH49" s="159"/>
      <c r="TXI49" s="159"/>
      <c r="TXJ49" s="159"/>
      <c r="TXK49" s="159"/>
      <c r="TXL49" s="159"/>
      <c r="TXM49" s="159"/>
      <c r="TXN49" s="159"/>
      <c r="TXO49" s="159"/>
      <c r="TXP49" s="159"/>
      <c r="TXQ49" s="159"/>
      <c r="TXR49" s="159"/>
      <c r="TXS49" s="159"/>
      <c r="TXT49" s="159"/>
      <c r="TXU49" s="159"/>
      <c r="TXV49" s="159"/>
      <c r="TXW49" s="159"/>
      <c r="TXX49" s="159"/>
      <c r="TXY49" s="159"/>
      <c r="TXZ49" s="159"/>
      <c r="TYA49" s="159"/>
      <c r="TYB49" s="159"/>
      <c r="TYC49" s="159"/>
      <c r="TYD49" s="159"/>
      <c r="TYE49" s="159"/>
      <c r="TYF49" s="159"/>
      <c r="TYG49" s="159"/>
      <c r="TYH49" s="159"/>
      <c r="TYI49" s="159"/>
      <c r="TYJ49" s="159"/>
      <c r="TYK49" s="159"/>
      <c r="TYL49" s="159"/>
      <c r="TYM49" s="159"/>
      <c r="TYN49" s="159"/>
      <c r="TYO49" s="159"/>
      <c r="TYP49" s="159"/>
      <c r="TYQ49" s="159"/>
      <c r="TYR49" s="159"/>
      <c r="TYS49" s="159"/>
      <c r="TYT49" s="159"/>
      <c r="TYU49" s="159"/>
      <c r="TYV49" s="159"/>
      <c r="TYW49" s="159"/>
      <c r="TYX49" s="159"/>
      <c r="TYY49" s="159"/>
      <c r="TYZ49" s="159"/>
      <c r="TZA49" s="159"/>
      <c r="TZB49" s="159"/>
      <c r="TZC49" s="159"/>
      <c r="TZD49" s="159"/>
      <c r="TZE49" s="159"/>
      <c r="TZF49" s="159"/>
      <c r="TZG49" s="159"/>
      <c r="TZH49" s="159"/>
      <c r="TZI49" s="159"/>
      <c r="TZJ49" s="159"/>
      <c r="TZK49" s="159"/>
      <c r="TZL49" s="159"/>
      <c r="TZM49" s="159"/>
      <c r="TZN49" s="159"/>
      <c r="TZO49" s="159"/>
      <c r="TZP49" s="159"/>
      <c r="TZQ49" s="159"/>
      <c r="TZR49" s="159"/>
      <c r="TZS49" s="159"/>
      <c r="TZT49" s="159"/>
      <c r="TZU49" s="159"/>
      <c r="TZV49" s="159"/>
      <c r="TZW49" s="159"/>
      <c r="TZX49" s="159"/>
      <c r="TZY49" s="159"/>
      <c r="TZZ49" s="159"/>
      <c r="UAA49" s="159"/>
      <c r="UAB49" s="159"/>
      <c r="UAC49" s="159"/>
      <c r="UAD49" s="159"/>
      <c r="UAE49" s="159"/>
      <c r="UAF49" s="159"/>
      <c r="UAG49" s="159"/>
      <c r="UAH49" s="159"/>
      <c r="UAI49" s="159"/>
      <c r="UAJ49" s="159"/>
      <c r="UAK49" s="159"/>
      <c r="UAL49" s="159"/>
      <c r="UAM49" s="159"/>
      <c r="UAN49" s="159"/>
      <c r="UAO49" s="159"/>
      <c r="UAP49" s="159"/>
      <c r="UAQ49" s="159"/>
      <c r="UAR49" s="159"/>
      <c r="UAS49" s="159"/>
      <c r="UAT49" s="159"/>
      <c r="UAU49" s="159"/>
      <c r="UAV49" s="159"/>
      <c r="UAW49" s="159"/>
      <c r="UAX49" s="159"/>
      <c r="UAY49" s="159"/>
      <c r="UAZ49" s="159"/>
      <c r="UBA49" s="159"/>
      <c r="UBB49" s="159"/>
      <c r="UBC49" s="159"/>
      <c r="UBD49" s="159"/>
      <c r="UBE49" s="159"/>
      <c r="UBF49" s="159"/>
      <c r="UBG49" s="159"/>
      <c r="UBH49" s="159"/>
      <c r="UBI49" s="159"/>
      <c r="UBJ49" s="159"/>
      <c r="UBK49" s="159"/>
      <c r="UBL49" s="159"/>
      <c r="UBM49" s="159"/>
      <c r="UBN49" s="159"/>
      <c r="UBO49" s="159"/>
      <c r="UBP49" s="159"/>
      <c r="UBQ49" s="159"/>
      <c r="UBR49" s="159"/>
      <c r="UBS49" s="159"/>
      <c r="UBT49" s="159"/>
      <c r="UBU49" s="159"/>
      <c r="UBV49" s="159"/>
      <c r="UBW49" s="159"/>
      <c r="UBX49" s="159"/>
      <c r="UBY49" s="159"/>
      <c r="UBZ49" s="159"/>
      <c r="UCA49" s="159"/>
      <c r="UCB49" s="159"/>
      <c r="UCC49" s="159"/>
      <c r="UCD49" s="159"/>
      <c r="UCE49" s="159"/>
      <c r="UCF49" s="159"/>
      <c r="UCG49" s="159"/>
      <c r="UCH49" s="159"/>
      <c r="UCI49" s="159"/>
      <c r="UCJ49" s="159"/>
      <c r="UCK49" s="159"/>
      <c r="UCL49" s="159"/>
      <c r="UCM49" s="159"/>
      <c r="UCN49" s="159"/>
      <c r="UCO49" s="159"/>
      <c r="UCP49" s="159"/>
      <c r="UCQ49" s="159"/>
      <c r="UCR49" s="159"/>
      <c r="UCS49" s="159"/>
      <c r="UCT49" s="159"/>
      <c r="UCU49" s="159"/>
      <c r="UCV49" s="159"/>
      <c r="UCW49" s="159"/>
      <c r="UCX49" s="159"/>
      <c r="UCY49" s="159"/>
      <c r="UCZ49" s="159"/>
      <c r="UDA49" s="159"/>
      <c r="UDB49" s="159"/>
      <c r="UDC49" s="159"/>
      <c r="UDD49" s="159"/>
      <c r="UDE49" s="159"/>
      <c r="UDF49" s="159"/>
      <c r="UDG49" s="159"/>
      <c r="UDH49" s="159"/>
      <c r="UDI49" s="159"/>
      <c r="UDJ49" s="159"/>
      <c r="UDK49" s="159"/>
      <c r="UDL49" s="159"/>
      <c r="UDM49" s="159"/>
      <c r="UDN49" s="159"/>
      <c r="UDO49" s="159"/>
      <c r="UDP49" s="159"/>
      <c r="UDQ49" s="159"/>
      <c r="UDR49" s="159"/>
      <c r="UDS49" s="159"/>
      <c r="UDT49" s="159"/>
      <c r="UDU49" s="159"/>
      <c r="UDV49" s="159"/>
      <c r="UDW49" s="159"/>
      <c r="UDX49" s="159"/>
      <c r="UDY49" s="159"/>
      <c r="UDZ49" s="159"/>
      <c r="UEA49" s="159"/>
      <c r="UEB49" s="159"/>
      <c r="UEC49" s="159"/>
      <c r="UED49" s="159"/>
      <c r="UEE49" s="159"/>
      <c r="UEF49" s="159"/>
      <c r="UEG49" s="159"/>
      <c r="UEH49" s="159"/>
      <c r="UEI49" s="159"/>
      <c r="UEJ49" s="159"/>
      <c r="UEK49" s="159"/>
      <c r="UEL49" s="159"/>
      <c r="UEM49" s="159"/>
      <c r="UEN49" s="159"/>
      <c r="UEO49" s="159"/>
      <c r="UEP49" s="159"/>
      <c r="UEQ49" s="159"/>
      <c r="UER49" s="159"/>
      <c r="UES49" s="159"/>
      <c r="UET49" s="159"/>
      <c r="UEU49" s="159"/>
      <c r="UEV49" s="159"/>
      <c r="UEW49" s="159"/>
      <c r="UEX49" s="159"/>
      <c r="UEY49" s="159"/>
      <c r="UEZ49" s="159"/>
      <c r="UFA49" s="159"/>
      <c r="UFB49" s="159"/>
      <c r="UFC49" s="159"/>
      <c r="UFD49" s="159"/>
      <c r="UFE49" s="159"/>
      <c r="UFF49" s="159"/>
      <c r="UFG49" s="159"/>
      <c r="UFH49" s="159"/>
      <c r="UFI49" s="159"/>
      <c r="UFJ49" s="159"/>
      <c r="UFK49" s="159"/>
      <c r="UFL49" s="159"/>
      <c r="UFM49" s="159"/>
      <c r="UFN49" s="159"/>
      <c r="UFO49" s="159"/>
      <c r="UFP49" s="159"/>
      <c r="UFQ49" s="159"/>
      <c r="UFR49" s="159"/>
      <c r="UFS49" s="159"/>
      <c r="UFT49" s="159"/>
      <c r="UFU49" s="159"/>
      <c r="UFV49" s="159"/>
      <c r="UFW49" s="159"/>
      <c r="UFX49" s="159"/>
      <c r="UFY49" s="159"/>
      <c r="UFZ49" s="159"/>
      <c r="UGA49" s="159"/>
      <c r="UGB49" s="159"/>
      <c r="UGC49" s="159"/>
      <c r="UGD49" s="159"/>
      <c r="UGE49" s="159"/>
      <c r="UGF49" s="159"/>
      <c r="UGG49" s="159"/>
      <c r="UGH49" s="159"/>
      <c r="UGI49" s="159"/>
      <c r="UGJ49" s="159"/>
      <c r="UGK49" s="159"/>
      <c r="UGL49" s="159"/>
      <c r="UGM49" s="159"/>
      <c r="UGN49" s="159"/>
      <c r="UGO49" s="159"/>
      <c r="UGP49" s="159"/>
      <c r="UGQ49" s="159"/>
      <c r="UGR49" s="159"/>
      <c r="UGS49" s="159"/>
      <c r="UGT49" s="159"/>
      <c r="UGU49" s="159"/>
      <c r="UGV49" s="159"/>
      <c r="UGW49" s="159"/>
      <c r="UGX49" s="159"/>
      <c r="UGY49" s="159"/>
      <c r="UGZ49" s="159"/>
      <c r="UHA49" s="159"/>
      <c r="UHB49" s="159"/>
      <c r="UHC49" s="159"/>
      <c r="UHD49" s="159"/>
      <c r="UHE49" s="159"/>
      <c r="UHF49" s="159"/>
      <c r="UHG49" s="159"/>
      <c r="UHH49" s="159"/>
      <c r="UHI49" s="159"/>
      <c r="UHJ49" s="159"/>
      <c r="UHK49" s="159"/>
      <c r="UHL49" s="159"/>
      <c r="UHM49" s="159"/>
      <c r="UHN49" s="159"/>
      <c r="UHO49" s="159"/>
      <c r="UHP49" s="159"/>
      <c r="UHQ49" s="159"/>
      <c r="UHR49" s="159"/>
      <c r="UHS49" s="159"/>
      <c r="UHT49" s="159"/>
      <c r="UHU49" s="159"/>
      <c r="UHV49" s="159"/>
      <c r="UHW49" s="159"/>
      <c r="UHX49" s="159"/>
      <c r="UHY49" s="159"/>
      <c r="UHZ49" s="159"/>
      <c r="UIA49" s="159"/>
      <c r="UIB49" s="159"/>
      <c r="UIC49" s="159"/>
      <c r="UID49" s="159"/>
      <c r="UIE49" s="159"/>
      <c r="UIF49" s="159"/>
      <c r="UIG49" s="159"/>
      <c r="UIH49" s="159"/>
      <c r="UII49" s="159"/>
      <c r="UIJ49" s="159"/>
      <c r="UIK49" s="159"/>
      <c r="UIL49" s="159"/>
      <c r="UIM49" s="159"/>
      <c r="UIN49" s="159"/>
      <c r="UIO49" s="159"/>
      <c r="UIP49" s="159"/>
      <c r="UIQ49" s="159"/>
      <c r="UIR49" s="159"/>
      <c r="UIS49" s="159"/>
      <c r="UIT49" s="159"/>
      <c r="UIU49" s="159"/>
      <c r="UIV49" s="159"/>
      <c r="UIW49" s="159"/>
      <c r="UIX49" s="159"/>
      <c r="UIY49" s="159"/>
      <c r="UIZ49" s="159"/>
      <c r="UJA49" s="159"/>
      <c r="UJB49" s="159"/>
      <c r="UJC49" s="159"/>
      <c r="UJD49" s="159"/>
      <c r="UJE49" s="159"/>
      <c r="UJF49" s="159"/>
      <c r="UJG49" s="159"/>
      <c r="UJH49" s="159"/>
      <c r="UJI49" s="159"/>
      <c r="UJJ49" s="159"/>
      <c r="UJK49" s="159"/>
      <c r="UJL49" s="159"/>
      <c r="UJM49" s="159"/>
      <c r="UJN49" s="159"/>
      <c r="UJO49" s="159"/>
      <c r="UJP49" s="159"/>
      <c r="UJQ49" s="159"/>
      <c r="UJR49" s="159"/>
      <c r="UJS49" s="159"/>
      <c r="UJT49" s="159"/>
      <c r="UJU49" s="159"/>
      <c r="UJV49" s="159"/>
      <c r="UJW49" s="159"/>
      <c r="UJX49" s="159"/>
      <c r="UJY49" s="159"/>
      <c r="UJZ49" s="159"/>
      <c r="UKA49" s="159"/>
      <c r="UKB49" s="159"/>
      <c r="UKC49" s="159"/>
      <c r="UKD49" s="159"/>
      <c r="UKE49" s="159"/>
      <c r="UKF49" s="159"/>
      <c r="UKG49" s="159"/>
      <c r="UKH49" s="159"/>
      <c r="UKI49" s="159"/>
      <c r="UKJ49" s="159"/>
      <c r="UKK49" s="159"/>
      <c r="UKL49" s="159"/>
      <c r="UKM49" s="159"/>
      <c r="UKN49" s="159"/>
      <c r="UKO49" s="159"/>
      <c r="UKP49" s="159"/>
      <c r="UKQ49" s="159"/>
      <c r="UKR49" s="159"/>
      <c r="UKS49" s="159"/>
      <c r="UKT49" s="159"/>
      <c r="UKU49" s="159"/>
      <c r="UKV49" s="159"/>
      <c r="UKW49" s="159"/>
      <c r="UKX49" s="159"/>
      <c r="UKY49" s="159"/>
      <c r="UKZ49" s="159"/>
      <c r="ULA49" s="159"/>
      <c r="ULB49" s="159"/>
      <c r="ULC49" s="159"/>
      <c r="ULD49" s="159"/>
      <c r="ULE49" s="159"/>
      <c r="ULF49" s="159"/>
      <c r="ULG49" s="159"/>
      <c r="ULH49" s="159"/>
      <c r="ULI49" s="159"/>
      <c r="ULJ49" s="159"/>
      <c r="ULK49" s="159"/>
      <c r="ULL49" s="159"/>
      <c r="ULM49" s="159"/>
      <c r="ULN49" s="159"/>
      <c r="ULO49" s="159"/>
      <c r="ULP49" s="159"/>
      <c r="ULQ49" s="159"/>
      <c r="ULR49" s="159"/>
      <c r="ULS49" s="159"/>
      <c r="ULT49" s="159"/>
      <c r="ULU49" s="159"/>
      <c r="ULV49" s="159"/>
      <c r="ULW49" s="159"/>
      <c r="ULX49" s="159"/>
      <c r="ULY49" s="159"/>
      <c r="ULZ49" s="159"/>
      <c r="UMA49" s="159"/>
      <c r="UMB49" s="159"/>
      <c r="UMC49" s="159"/>
      <c r="UMD49" s="159"/>
      <c r="UME49" s="159"/>
      <c r="UMF49" s="159"/>
      <c r="UMG49" s="159"/>
      <c r="UMH49" s="159"/>
      <c r="UMI49" s="159"/>
      <c r="UMJ49" s="159"/>
      <c r="UMK49" s="159"/>
      <c r="UML49" s="159"/>
      <c r="UMM49" s="159"/>
      <c r="UMN49" s="159"/>
      <c r="UMO49" s="159"/>
      <c r="UMP49" s="159"/>
      <c r="UMQ49" s="159"/>
      <c r="UMR49" s="159"/>
      <c r="UMS49" s="159"/>
      <c r="UMT49" s="159"/>
      <c r="UMU49" s="159"/>
      <c r="UMV49" s="159"/>
      <c r="UMW49" s="159"/>
      <c r="UMX49" s="159"/>
      <c r="UMY49" s="159"/>
      <c r="UMZ49" s="159"/>
      <c r="UNA49" s="159"/>
      <c r="UNB49" s="159"/>
      <c r="UNC49" s="159"/>
      <c r="UND49" s="159"/>
      <c r="UNE49" s="159"/>
      <c r="UNF49" s="159"/>
      <c r="UNG49" s="159"/>
      <c r="UNH49" s="159"/>
      <c r="UNI49" s="159"/>
      <c r="UNJ49" s="159"/>
      <c r="UNK49" s="159"/>
      <c r="UNL49" s="159"/>
      <c r="UNM49" s="159"/>
      <c r="UNN49" s="159"/>
      <c r="UNO49" s="159"/>
      <c r="UNP49" s="159"/>
      <c r="UNQ49" s="159"/>
      <c r="UNR49" s="159"/>
      <c r="UNS49" s="159"/>
      <c r="UNT49" s="159"/>
      <c r="UNU49" s="159"/>
      <c r="UNV49" s="159"/>
      <c r="UNW49" s="159"/>
      <c r="UNX49" s="159"/>
      <c r="UNY49" s="159"/>
      <c r="UNZ49" s="159"/>
      <c r="UOA49" s="159"/>
      <c r="UOB49" s="159"/>
      <c r="UOC49" s="159"/>
      <c r="UOD49" s="159"/>
      <c r="UOE49" s="159"/>
      <c r="UOF49" s="159"/>
      <c r="UOG49" s="159"/>
      <c r="UOH49" s="159"/>
      <c r="UOI49" s="159"/>
      <c r="UOJ49" s="159"/>
      <c r="UOK49" s="159"/>
      <c r="UOL49" s="159"/>
      <c r="UOM49" s="159"/>
      <c r="UON49" s="159"/>
      <c r="UOO49" s="159"/>
      <c r="UOP49" s="159"/>
      <c r="UOQ49" s="159"/>
      <c r="UOR49" s="159"/>
      <c r="UOS49" s="159"/>
      <c r="UOT49" s="159"/>
      <c r="UOU49" s="159"/>
      <c r="UOV49" s="159"/>
      <c r="UOW49" s="159"/>
      <c r="UOX49" s="159"/>
      <c r="UOY49" s="159"/>
      <c r="UOZ49" s="159"/>
      <c r="UPA49" s="159"/>
      <c r="UPB49" s="159"/>
      <c r="UPC49" s="159"/>
      <c r="UPD49" s="159"/>
      <c r="UPE49" s="159"/>
      <c r="UPF49" s="159"/>
      <c r="UPG49" s="159"/>
      <c r="UPH49" s="159"/>
      <c r="UPI49" s="159"/>
      <c r="UPJ49" s="159"/>
      <c r="UPK49" s="159"/>
      <c r="UPL49" s="159"/>
      <c r="UPM49" s="159"/>
      <c r="UPN49" s="159"/>
      <c r="UPO49" s="159"/>
      <c r="UPP49" s="159"/>
      <c r="UPQ49" s="159"/>
      <c r="UPR49" s="159"/>
      <c r="UPS49" s="159"/>
      <c r="UPT49" s="159"/>
      <c r="UPU49" s="159"/>
      <c r="UPV49" s="159"/>
      <c r="UPW49" s="159"/>
      <c r="UPX49" s="159"/>
      <c r="UPY49" s="159"/>
      <c r="UPZ49" s="159"/>
      <c r="UQA49" s="159"/>
      <c r="UQB49" s="159"/>
      <c r="UQC49" s="159"/>
      <c r="UQD49" s="159"/>
      <c r="UQE49" s="159"/>
      <c r="UQF49" s="159"/>
      <c r="UQG49" s="159"/>
      <c r="UQH49" s="159"/>
      <c r="UQI49" s="159"/>
      <c r="UQJ49" s="159"/>
      <c r="UQK49" s="159"/>
      <c r="UQL49" s="159"/>
      <c r="UQM49" s="159"/>
      <c r="UQN49" s="159"/>
      <c r="UQO49" s="159"/>
      <c r="UQP49" s="159"/>
      <c r="UQQ49" s="159"/>
      <c r="UQR49" s="159"/>
      <c r="UQS49" s="159"/>
      <c r="UQT49" s="159"/>
      <c r="UQU49" s="159"/>
      <c r="UQV49" s="159"/>
      <c r="UQW49" s="159"/>
      <c r="UQX49" s="159"/>
      <c r="UQY49" s="159"/>
      <c r="UQZ49" s="159"/>
      <c r="URA49" s="159"/>
      <c r="URB49" s="159"/>
      <c r="URC49" s="159"/>
      <c r="URD49" s="159"/>
      <c r="URE49" s="159"/>
      <c r="URF49" s="159"/>
      <c r="URG49" s="159"/>
      <c r="URH49" s="159"/>
      <c r="URI49" s="159"/>
      <c r="URJ49" s="159"/>
      <c r="URK49" s="159"/>
      <c r="URL49" s="159"/>
      <c r="URM49" s="159"/>
      <c r="URN49" s="159"/>
      <c r="URO49" s="159"/>
      <c r="URP49" s="159"/>
      <c r="URQ49" s="159"/>
      <c r="URR49" s="159"/>
      <c r="URS49" s="159"/>
      <c r="URT49" s="159"/>
      <c r="URU49" s="159"/>
      <c r="URV49" s="159"/>
      <c r="URW49" s="159"/>
      <c r="URX49" s="159"/>
      <c r="URY49" s="159"/>
      <c r="URZ49" s="159"/>
      <c r="USA49" s="159"/>
      <c r="USB49" s="159"/>
      <c r="USC49" s="159"/>
      <c r="USD49" s="159"/>
      <c r="USE49" s="159"/>
      <c r="USF49" s="159"/>
      <c r="USG49" s="159"/>
      <c r="USH49" s="159"/>
      <c r="USI49" s="159"/>
      <c r="USJ49" s="159"/>
      <c r="USK49" s="159"/>
      <c r="USL49" s="159"/>
      <c r="USM49" s="159"/>
      <c r="USN49" s="159"/>
      <c r="USO49" s="159"/>
      <c r="USP49" s="159"/>
      <c r="USQ49" s="159"/>
      <c r="USR49" s="159"/>
      <c r="USS49" s="159"/>
      <c r="UST49" s="159"/>
      <c r="USU49" s="159"/>
      <c r="USV49" s="159"/>
      <c r="USW49" s="159"/>
      <c r="USX49" s="159"/>
      <c r="USY49" s="159"/>
      <c r="USZ49" s="159"/>
      <c r="UTA49" s="159"/>
      <c r="UTB49" s="159"/>
      <c r="UTC49" s="159"/>
      <c r="UTD49" s="159"/>
      <c r="UTE49" s="159"/>
      <c r="UTF49" s="159"/>
      <c r="UTG49" s="159"/>
      <c r="UTH49" s="159"/>
      <c r="UTI49" s="159"/>
      <c r="UTJ49" s="159"/>
      <c r="UTK49" s="159"/>
      <c r="UTL49" s="159"/>
      <c r="UTM49" s="159"/>
      <c r="UTN49" s="159"/>
      <c r="UTO49" s="159"/>
      <c r="UTP49" s="159"/>
      <c r="UTQ49" s="159"/>
      <c r="UTR49" s="159"/>
      <c r="UTS49" s="159"/>
      <c r="UTT49" s="159"/>
      <c r="UTU49" s="159"/>
      <c r="UTV49" s="159"/>
      <c r="UTW49" s="159"/>
      <c r="UTX49" s="159"/>
      <c r="UTY49" s="159"/>
      <c r="UTZ49" s="159"/>
      <c r="UUA49" s="159"/>
      <c r="UUB49" s="159"/>
      <c r="UUC49" s="159"/>
      <c r="UUD49" s="159"/>
      <c r="UUE49" s="159"/>
      <c r="UUF49" s="159"/>
      <c r="UUG49" s="159"/>
      <c r="UUH49" s="159"/>
      <c r="UUI49" s="159"/>
      <c r="UUJ49" s="159"/>
      <c r="UUK49" s="159"/>
      <c r="UUL49" s="159"/>
      <c r="UUM49" s="159"/>
      <c r="UUN49" s="159"/>
      <c r="UUO49" s="159"/>
      <c r="UUP49" s="159"/>
      <c r="UUQ49" s="159"/>
      <c r="UUR49" s="159"/>
      <c r="UUS49" s="159"/>
      <c r="UUT49" s="159"/>
      <c r="UUU49" s="159"/>
      <c r="UUV49" s="159"/>
      <c r="UUW49" s="159"/>
      <c r="UUX49" s="159"/>
      <c r="UUY49" s="159"/>
      <c r="UUZ49" s="159"/>
      <c r="UVA49" s="159"/>
      <c r="UVB49" s="159"/>
      <c r="UVC49" s="159"/>
      <c r="UVD49" s="159"/>
      <c r="UVE49" s="159"/>
      <c r="UVF49" s="159"/>
      <c r="UVG49" s="159"/>
      <c r="UVH49" s="159"/>
      <c r="UVI49" s="159"/>
      <c r="UVJ49" s="159"/>
      <c r="UVK49" s="159"/>
      <c r="UVL49" s="159"/>
      <c r="UVM49" s="159"/>
      <c r="UVN49" s="159"/>
      <c r="UVO49" s="159"/>
      <c r="UVP49" s="159"/>
      <c r="UVQ49" s="159"/>
      <c r="UVR49" s="159"/>
      <c r="UVS49" s="159"/>
      <c r="UVT49" s="159"/>
      <c r="UVU49" s="159"/>
      <c r="UVV49" s="159"/>
      <c r="UVW49" s="159"/>
      <c r="UVX49" s="159"/>
      <c r="UVY49" s="159"/>
      <c r="UVZ49" s="159"/>
      <c r="UWA49" s="159"/>
      <c r="UWB49" s="159"/>
      <c r="UWC49" s="159"/>
      <c r="UWD49" s="159"/>
      <c r="UWE49" s="159"/>
      <c r="UWF49" s="159"/>
      <c r="UWG49" s="159"/>
      <c r="UWH49" s="159"/>
      <c r="UWI49" s="159"/>
      <c r="UWJ49" s="159"/>
      <c r="UWK49" s="159"/>
      <c r="UWL49" s="159"/>
      <c r="UWM49" s="159"/>
      <c r="UWN49" s="159"/>
      <c r="UWO49" s="159"/>
      <c r="UWP49" s="159"/>
      <c r="UWQ49" s="159"/>
      <c r="UWR49" s="159"/>
      <c r="UWS49" s="159"/>
      <c r="UWT49" s="159"/>
      <c r="UWU49" s="159"/>
      <c r="UWV49" s="159"/>
      <c r="UWW49" s="159"/>
      <c r="UWX49" s="159"/>
      <c r="UWY49" s="159"/>
      <c r="UWZ49" s="159"/>
      <c r="UXA49" s="159"/>
      <c r="UXB49" s="159"/>
      <c r="UXC49" s="159"/>
      <c r="UXD49" s="159"/>
      <c r="UXE49" s="159"/>
      <c r="UXF49" s="159"/>
      <c r="UXG49" s="159"/>
      <c r="UXH49" s="159"/>
      <c r="UXI49" s="159"/>
      <c r="UXJ49" s="159"/>
      <c r="UXK49" s="159"/>
      <c r="UXL49" s="159"/>
      <c r="UXM49" s="159"/>
      <c r="UXN49" s="159"/>
      <c r="UXO49" s="159"/>
      <c r="UXP49" s="159"/>
      <c r="UXQ49" s="159"/>
      <c r="UXR49" s="159"/>
      <c r="UXS49" s="159"/>
      <c r="UXT49" s="159"/>
      <c r="UXU49" s="159"/>
      <c r="UXV49" s="159"/>
      <c r="UXW49" s="159"/>
      <c r="UXX49" s="159"/>
      <c r="UXY49" s="159"/>
      <c r="UXZ49" s="159"/>
      <c r="UYA49" s="159"/>
      <c r="UYB49" s="159"/>
      <c r="UYC49" s="159"/>
      <c r="UYD49" s="159"/>
      <c r="UYE49" s="159"/>
      <c r="UYF49" s="159"/>
      <c r="UYG49" s="159"/>
      <c r="UYH49" s="159"/>
      <c r="UYI49" s="159"/>
      <c r="UYJ49" s="159"/>
      <c r="UYK49" s="159"/>
      <c r="UYL49" s="159"/>
      <c r="UYM49" s="159"/>
      <c r="UYN49" s="159"/>
      <c r="UYO49" s="159"/>
      <c r="UYP49" s="159"/>
      <c r="UYQ49" s="159"/>
      <c r="UYR49" s="159"/>
      <c r="UYS49" s="159"/>
      <c r="UYT49" s="159"/>
      <c r="UYU49" s="159"/>
      <c r="UYV49" s="159"/>
      <c r="UYW49" s="159"/>
      <c r="UYX49" s="159"/>
      <c r="UYY49" s="159"/>
      <c r="UYZ49" s="159"/>
      <c r="UZA49" s="159"/>
      <c r="UZB49" s="159"/>
      <c r="UZC49" s="159"/>
      <c r="UZD49" s="159"/>
      <c r="UZE49" s="159"/>
      <c r="UZF49" s="159"/>
      <c r="UZG49" s="159"/>
      <c r="UZH49" s="159"/>
      <c r="UZI49" s="159"/>
      <c r="UZJ49" s="159"/>
      <c r="UZK49" s="159"/>
      <c r="UZL49" s="159"/>
      <c r="UZM49" s="159"/>
      <c r="UZN49" s="159"/>
      <c r="UZO49" s="159"/>
      <c r="UZP49" s="159"/>
      <c r="UZQ49" s="159"/>
      <c r="UZR49" s="159"/>
      <c r="UZS49" s="159"/>
      <c r="UZT49" s="159"/>
      <c r="UZU49" s="159"/>
      <c r="UZV49" s="159"/>
      <c r="UZW49" s="159"/>
      <c r="UZX49" s="159"/>
      <c r="UZY49" s="159"/>
      <c r="UZZ49" s="159"/>
      <c r="VAA49" s="159"/>
      <c r="VAB49" s="159"/>
      <c r="VAC49" s="159"/>
      <c r="VAD49" s="159"/>
      <c r="VAE49" s="159"/>
      <c r="VAF49" s="159"/>
      <c r="VAG49" s="159"/>
      <c r="VAH49" s="159"/>
      <c r="VAI49" s="159"/>
      <c r="VAJ49" s="159"/>
      <c r="VAK49" s="159"/>
      <c r="VAL49" s="159"/>
      <c r="VAM49" s="159"/>
      <c r="VAN49" s="159"/>
      <c r="VAO49" s="159"/>
      <c r="VAP49" s="159"/>
      <c r="VAQ49" s="159"/>
      <c r="VAR49" s="159"/>
      <c r="VAS49" s="159"/>
      <c r="VAT49" s="159"/>
      <c r="VAU49" s="159"/>
      <c r="VAV49" s="159"/>
      <c r="VAW49" s="159"/>
      <c r="VAX49" s="159"/>
      <c r="VAY49" s="159"/>
      <c r="VAZ49" s="159"/>
      <c r="VBA49" s="159"/>
      <c r="VBB49" s="159"/>
      <c r="VBC49" s="159"/>
      <c r="VBD49" s="159"/>
      <c r="VBE49" s="159"/>
      <c r="VBF49" s="159"/>
      <c r="VBG49" s="159"/>
      <c r="VBH49" s="159"/>
      <c r="VBI49" s="159"/>
      <c r="VBJ49" s="159"/>
      <c r="VBK49" s="159"/>
      <c r="VBL49" s="159"/>
      <c r="VBM49" s="159"/>
      <c r="VBN49" s="159"/>
      <c r="VBO49" s="159"/>
      <c r="VBP49" s="159"/>
      <c r="VBQ49" s="159"/>
      <c r="VBR49" s="159"/>
      <c r="VBS49" s="159"/>
      <c r="VBT49" s="159"/>
      <c r="VBU49" s="159"/>
      <c r="VBV49" s="159"/>
      <c r="VBW49" s="159"/>
      <c r="VBX49" s="159"/>
      <c r="VBY49" s="159"/>
      <c r="VBZ49" s="159"/>
      <c r="VCA49" s="159"/>
      <c r="VCB49" s="159"/>
      <c r="VCC49" s="159"/>
      <c r="VCD49" s="159"/>
      <c r="VCE49" s="159"/>
      <c r="VCF49" s="159"/>
      <c r="VCG49" s="159"/>
      <c r="VCH49" s="159"/>
      <c r="VCI49" s="159"/>
      <c r="VCJ49" s="159"/>
      <c r="VCK49" s="159"/>
      <c r="VCL49" s="159"/>
      <c r="VCM49" s="159"/>
      <c r="VCN49" s="159"/>
      <c r="VCO49" s="159"/>
      <c r="VCP49" s="159"/>
      <c r="VCQ49" s="159"/>
      <c r="VCR49" s="159"/>
      <c r="VCS49" s="159"/>
      <c r="VCT49" s="159"/>
      <c r="VCU49" s="159"/>
      <c r="VCV49" s="159"/>
      <c r="VCW49" s="159"/>
      <c r="VCX49" s="159"/>
      <c r="VCY49" s="159"/>
      <c r="VCZ49" s="159"/>
      <c r="VDA49" s="159"/>
      <c r="VDB49" s="159"/>
      <c r="VDC49" s="159"/>
      <c r="VDD49" s="159"/>
      <c r="VDE49" s="159"/>
      <c r="VDF49" s="159"/>
      <c r="VDG49" s="159"/>
      <c r="VDH49" s="159"/>
      <c r="VDI49" s="159"/>
      <c r="VDJ49" s="159"/>
      <c r="VDK49" s="159"/>
      <c r="VDL49" s="159"/>
      <c r="VDM49" s="159"/>
      <c r="VDN49" s="159"/>
      <c r="VDO49" s="159"/>
      <c r="VDP49" s="159"/>
      <c r="VDQ49" s="159"/>
      <c r="VDR49" s="159"/>
      <c r="VDS49" s="159"/>
      <c r="VDT49" s="159"/>
      <c r="VDU49" s="159"/>
      <c r="VDV49" s="159"/>
      <c r="VDW49" s="159"/>
      <c r="VDX49" s="159"/>
      <c r="VDY49" s="159"/>
      <c r="VDZ49" s="159"/>
      <c r="VEA49" s="159"/>
      <c r="VEB49" s="159"/>
      <c r="VEC49" s="159"/>
      <c r="VED49" s="159"/>
      <c r="VEE49" s="159"/>
      <c r="VEF49" s="159"/>
      <c r="VEG49" s="159"/>
      <c r="VEH49" s="159"/>
      <c r="VEI49" s="159"/>
      <c r="VEJ49" s="159"/>
      <c r="VEK49" s="159"/>
      <c r="VEL49" s="159"/>
      <c r="VEM49" s="159"/>
      <c r="VEN49" s="159"/>
      <c r="VEO49" s="159"/>
      <c r="VEP49" s="159"/>
      <c r="VEQ49" s="159"/>
      <c r="VER49" s="159"/>
      <c r="VES49" s="159"/>
      <c r="VET49" s="159"/>
      <c r="VEU49" s="159"/>
      <c r="VEV49" s="159"/>
      <c r="VEW49" s="159"/>
      <c r="VEX49" s="159"/>
      <c r="VEY49" s="159"/>
      <c r="VEZ49" s="159"/>
      <c r="VFA49" s="159"/>
      <c r="VFB49" s="159"/>
      <c r="VFC49" s="159"/>
      <c r="VFD49" s="159"/>
      <c r="VFE49" s="159"/>
      <c r="VFF49" s="159"/>
      <c r="VFG49" s="159"/>
      <c r="VFH49" s="159"/>
      <c r="VFI49" s="159"/>
      <c r="VFJ49" s="159"/>
      <c r="VFK49" s="159"/>
      <c r="VFL49" s="159"/>
      <c r="VFM49" s="159"/>
      <c r="VFN49" s="159"/>
      <c r="VFO49" s="159"/>
      <c r="VFP49" s="159"/>
      <c r="VFQ49" s="159"/>
      <c r="VFR49" s="159"/>
      <c r="VFS49" s="159"/>
      <c r="VFT49" s="159"/>
      <c r="VFU49" s="159"/>
      <c r="VFV49" s="159"/>
      <c r="VFW49" s="159"/>
      <c r="VFX49" s="159"/>
      <c r="VFY49" s="159"/>
      <c r="VFZ49" s="159"/>
      <c r="VGA49" s="159"/>
      <c r="VGB49" s="159"/>
      <c r="VGC49" s="159"/>
      <c r="VGD49" s="159"/>
      <c r="VGE49" s="159"/>
      <c r="VGF49" s="159"/>
      <c r="VGG49" s="159"/>
      <c r="VGH49" s="159"/>
      <c r="VGI49" s="159"/>
      <c r="VGJ49" s="159"/>
      <c r="VGK49" s="159"/>
      <c r="VGL49" s="159"/>
      <c r="VGM49" s="159"/>
      <c r="VGN49" s="159"/>
      <c r="VGO49" s="159"/>
      <c r="VGP49" s="159"/>
      <c r="VGQ49" s="159"/>
      <c r="VGR49" s="159"/>
      <c r="VGS49" s="159"/>
      <c r="VGT49" s="159"/>
      <c r="VGU49" s="159"/>
      <c r="VGV49" s="159"/>
      <c r="VGW49" s="159"/>
      <c r="VGX49" s="159"/>
      <c r="VGY49" s="159"/>
      <c r="VGZ49" s="159"/>
      <c r="VHA49" s="159"/>
      <c r="VHB49" s="159"/>
      <c r="VHC49" s="159"/>
      <c r="VHD49" s="159"/>
      <c r="VHE49" s="159"/>
      <c r="VHF49" s="159"/>
      <c r="VHG49" s="159"/>
      <c r="VHH49" s="159"/>
      <c r="VHI49" s="159"/>
      <c r="VHJ49" s="159"/>
      <c r="VHK49" s="159"/>
      <c r="VHL49" s="159"/>
      <c r="VHM49" s="159"/>
      <c r="VHN49" s="159"/>
      <c r="VHO49" s="159"/>
      <c r="VHP49" s="159"/>
      <c r="VHQ49" s="159"/>
      <c r="VHR49" s="159"/>
      <c r="VHS49" s="159"/>
      <c r="VHT49" s="159"/>
      <c r="VHU49" s="159"/>
      <c r="VHV49" s="159"/>
      <c r="VHW49" s="159"/>
      <c r="VHX49" s="159"/>
      <c r="VHY49" s="159"/>
      <c r="VHZ49" s="159"/>
      <c r="VIA49" s="159"/>
      <c r="VIB49" s="159"/>
      <c r="VIC49" s="159"/>
      <c r="VID49" s="159"/>
      <c r="VIE49" s="159"/>
      <c r="VIF49" s="159"/>
      <c r="VIG49" s="159"/>
      <c r="VIH49" s="159"/>
      <c r="VII49" s="159"/>
      <c r="VIJ49" s="159"/>
      <c r="VIK49" s="159"/>
      <c r="VIL49" s="159"/>
      <c r="VIM49" s="159"/>
      <c r="VIN49" s="159"/>
      <c r="VIO49" s="159"/>
      <c r="VIP49" s="159"/>
      <c r="VIQ49" s="159"/>
      <c r="VIR49" s="159"/>
      <c r="VIS49" s="159"/>
      <c r="VIT49" s="159"/>
      <c r="VIU49" s="159"/>
      <c r="VIV49" s="159"/>
      <c r="VIW49" s="159"/>
      <c r="VIX49" s="159"/>
      <c r="VIY49" s="159"/>
      <c r="VIZ49" s="159"/>
      <c r="VJA49" s="159"/>
      <c r="VJB49" s="159"/>
      <c r="VJC49" s="159"/>
      <c r="VJD49" s="159"/>
      <c r="VJE49" s="159"/>
      <c r="VJF49" s="159"/>
      <c r="VJG49" s="159"/>
      <c r="VJH49" s="159"/>
      <c r="VJI49" s="159"/>
      <c r="VJJ49" s="159"/>
      <c r="VJK49" s="159"/>
      <c r="VJL49" s="159"/>
      <c r="VJM49" s="159"/>
      <c r="VJN49" s="159"/>
      <c r="VJO49" s="159"/>
      <c r="VJP49" s="159"/>
      <c r="VJQ49" s="159"/>
      <c r="VJR49" s="159"/>
      <c r="VJS49" s="159"/>
      <c r="VJT49" s="159"/>
      <c r="VJU49" s="159"/>
      <c r="VJV49" s="159"/>
      <c r="VJW49" s="159"/>
      <c r="VJX49" s="159"/>
      <c r="VJY49" s="159"/>
      <c r="VJZ49" s="159"/>
      <c r="VKA49" s="159"/>
      <c r="VKB49" s="159"/>
      <c r="VKC49" s="159"/>
      <c r="VKD49" s="159"/>
      <c r="VKE49" s="159"/>
      <c r="VKF49" s="159"/>
      <c r="VKG49" s="159"/>
      <c r="VKH49" s="159"/>
      <c r="VKI49" s="159"/>
      <c r="VKJ49" s="159"/>
      <c r="VKK49" s="159"/>
      <c r="VKL49" s="159"/>
      <c r="VKM49" s="159"/>
      <c r="VKN49" s="159"/>
      <c r="VKO49" s="159"/>
      <c r="VKP49" s="159"/>
      <c r="VKQ49" s="159"/>
      <c r="VKR49" s="159"/>
      <c r="VKS49" s="159"/>
      <c r="VKT49" s="159"/>
      <c r="VKU49" s="159"/>
      <c r="VKV49" s="159"/>
      <c r="VKW49" s="159"/>
      <c r="VKX49" s="159"/>
      <c r="VKY49" s="159"/>
      <c r="VKZ49" s="159"/>
      <c r="VLA49" s="159"/>
      <c r="VLB49" s="159"/>
      <c r="VLC49" s="159"/>
      <c r="VLD49" s="159"/>
      <c r="VLE49" s="159"/>
      <c r="VLF49" s="159"/>
      <c r="VLG49" s="159"/>
      <c r="VLH49" s="159"/>
      <c r="VLI49" s="159"/>
      <c r="VLJ49" s="159"/>
      <c r="VLK49" s="159"/>
      <c r="VLL49" s="159"/>
      <c r="VLM49" s="159"/>
      <c r="VLN49" s="159"/>
      <c r="VLO49" s="159"/>
      <c r="VLP49" s="159"/>
      <c r="VLQ49" s="159"/>
      <c r="VLR49" s="159"/>
      <c r="VLS49" s="159"/>
      <c r="VLT49" s="159"/>
      <c r="VLU49" s="159"/>
      <c r="VLV49" s="159"/>
      <c r="VLW49" s="159"/>
      <c r="VLX49" s="159"/>
      <c r="VLY49" s="159"/>
      <c r="VLZ49" s="159"/>
      <c r="VMA49" s="159"/>
      <c r="VMB49" s="159"/>
      <c r="VMC49" s="159"/>
      <c r="VMD49" s="159"/>
      <c r="VME49" s="159"/>
      <c r="VMF49" s="159"/>
      <c r="VMG49" s="159"/>
      <c r="VMH49" s="159"/>
      <c r="VMI49" s="159"/>
      <c r="VMJ49" s="159"/>
      <c r="VMK49" s="159"/>
      <c r="VML49" s="159"/>
      <c r="VMM49" s="159"/>
      <c r="VMN49" s="159"/>
      <c r="VMO49" s="159"/>
      <c r="VMP49" s="159"/>
      <c r="VMQ49" s="159"/>
      <c r="VMR49" s="159"/>
      <c r="VMS49" s="159"/>
      <c r="VMT49" s="159"/>
      <c r="VMU49" s="159"/>
      <c r="VMV49" s="159"/>
      <c r="VMW49" s="159"/>
      <c r="VMX49" s="159"/>
      <c r="VMY49" s="159"/>
      <c r="VMZ49" s="159"/>
      <c r="VNA49" s="159"/>
      <c r="VNB49" s="159"/>
      <c r="VNC49" s="159"/>
      <c r="VND49" s="159"/>
      <c r="VNE49" s="159"/>
      <c r="VNF49" s="159"/>
      <c r="VNG49" s="159"/>
      <c r="VNH49" s="159"/>
      <c r="VNI49" s="159"/>
      <c r="VNJ49" s="159"/>
      <c r="VNK49" s="159"/>
      <c r="VNL49" s="159"/>
      <c r="VNM49" s="159"/>
      <c r="VNN49" s="159"/>
      <c r="VNO49" s="159"/>
      <c r="VNP49" s="159"/>
      <c r="VNQ49" s="159"/>
      <c r="VNR49" s="159"/>
      <c r="VNS49" s="159"/>
      <c r="VNT49" s="159"/>
      <c r="VNU49" s="159"/>
      <c r="VNV49" s="159"/>
      <c r="VNW49" s="159"/>
      <c r="VNX49" s="159"/>
      <c r="VNY49" s="159"/>
      <c r="VNZ49" s="159"/>
      <c r="VOA49" s="159"/>
      <c r="VOB49" s="159"/>
      <c r="VOC49" s="159"/>
      <c r="VOD49" s="159"/>
      <c r="VOE49" s="159"/>
      <c r="VOF49" s="159"/>
      <c r="VOG49" s="159"/>
      <c r="VOH49" s="159"/>
      <c r="VOI49" s="159"/>
      <c r="VOJ49" s="159"/>
      <c r="VOK49" s="159"/>
      <c r="VOL49" s="159"/>
      <c r="VOM49" s="159"/>
      <c r="VON49" s="159"/>
      <c r="VOO49" s="159"/>
      <c r="VOP49" s="159"/>
      <c r="VOQ49" s="159"/>
      <c r="VOR49" s="159"/>
      <c r="VOS49" s="159"/>
      <c r="VOT49" s="159"/>
      <c r="VOU49" s="159"/>
      <c r="VOV49" s="159"/>
      <c r="VOW49" s="159"/>
      <c r="VOX49" s="159"/>
      <c r="VOY49" s="159"/>
      <c r="VOZ49" s="159"/>
      <c r="VPA49" s="159"/>
      <c r="VPB49" s="159"/>
      <c r="VPC49" s="159"/>
      <c r="VPD49" s="159"/>
      <c r="VPE49" s="159"/>
      <c r="VPF49" s="159"/>
      <c r="VPG49" s="159"/>
      <c r="VPH49" s="159"/>
      <c r="VPI49" s="159"/>
      <c r="VPJ49" s="159"/>
      <c r="VPK49" s="159"/>
      <c r="VPL49" s="159"/>
      <c r="VPM49" s="159"/>
      <c r="VPN49" s="159"/>
      <c r="VPO49" s="159"/>
      <c r="VPP49" s="159"/>
      <c r="VPQ49" s="159"/>
      <c r="VPR49" s="159"/>
      <c r="VPS49" s="159"/>
      <c r="VPT49" s="159"/>
      <c r="VPU49" s="159"/>
      <c r="VPV49" s="159"/>
      <c r="VPW49" s="159"/>
      <c r="VPX49" s="159"/>
      <c r="VPY49" s="159"/>
      <c r="VPZ49" s="159"/>
      <c r="VQA49" s="159"/>
      <c r="VQB49" s="159"/>
      <c r="VQC49" s="159"/>
      <c r="VQD49" s="159"/>
      <c r="VQE49" s="159"/>
      <c r="VQF49" s="159"/>
      <c r="VQG49" s="159"/>
      <c r="VQH49" s="159"/>
      <c r="VQI49" s="159"/>
      <c r="VQJ49" s="159"/>
      <c r="VQK49" s="159"/>
      <c r="VQL49" s="159"/>
      <c r="VQM49" s="159"/>
      <c r="VQN49" s="159"/>
      <c r="VQO49" s="159"/>
      <c r="VQP49" s="159"/>
      <c r="VQQ49" s="159"/>
      <c r="VQR49" s="159"/>
      <c r="VQS49" s="159"/>
      <c r="VQT49" s="159"/>
      <c r="VQU49" s="159"/>
      <c r="VQV49" s="159"/>
      <c r="VQW49" s="159"/>
      <c r="VQX49" s="159"/>
      <c r="VQY49" s="159"/>
      <c r="VQZ49" s="159"/>
      <c r="VRA49" s="159"/>
      <c r="VRB49" s="159"/>
      <c r="VRC49" s="159"/>
      <c r="VRD49" s="159"/>
      <c r="VRE49" s="159"/>
      <c r="VRF49" s="159"/>
      <c r="VRG49" s="159"/>
      <c r="VRH49" s="159"/>
      <c r="VRI49" s="159"/>
      <c r="VRJ49" s="159"/>
      <c r="VRK49" s="159"/>
      <c r="VRL49" s="159"/>
      <c r="VRM49" s="159"/>
      <c r="VRN49" s="159"/>
      <c r="VRO49" s="159"/>
      <c r="VRP49" s="159"/>
      <c r="VRQ49" s="159"/>
      <c r="VRR49" s="159"/>
      <c r="VRS49" s="159"/>
      <c r="VRT49" s="159"/>
      <c r="VRU49" s="159"/>
      <c r="VRV49" s="159"/>
      <c r="VRW49" s="159"/>
      <c r="VRX49" s="159"/>
      <c r="VRY49" s="159"/>
      <c r="VRZ49" s="159"/>
      <c r="VSA49" s="159"/>
      <c r="VSB49" s="159"/>
      <c r="VSC49" s="159"/>
      <c r="VSD49" s="159"/>
      <c r="VSE49" s="159"/>
      <c r="VSF49" s="159"/>
      <c r="VSG49" s="159"/>
      <c r="VSH49" s="159"/>
      <c r="VSI49" s="159"/>
      <c r="VSJ49" s="159"/>
      <c r="VSK49" s="159"/>
      <c r="VSL49" s="159"/>
      <c r="VSM49" s="159"/>
      <c r="VSN49" s="159"/>
      <c r="VSO49" s="159"/>
      <c r="VSP49" s="159"/>
      <c r="VSQ49" s="159"/>
      <c r="VSR49" s="159"/>
      <c r="VSS49" s="159"/>
      <c r="VST49" s="159"/>
      <c r="VSU49" s="159"/>
      <c r="VSV49" s="159"/>
      <c r="VSW49" s="159"/>
      <c r="VSX49" s="159"/>
      <c r="VSY49" s="159"/>
      <c r="VSZ49" s="159"/>
      <c r="VTA49" s="159"/>
      <c r="VTB49" s="159"/>
      <c r="VTC49" s="159"/>
      <c r="VTD49" s="159"/>
      <c r="VTE49" s="159"/>
      <c r="VTF49" s="159"/>
      <c r="VTG49" s="159"/>
      <c r="VTH49" s="159"/>
      <c r="VTI49" s="159"/>
      <c r="VTJ49" s="159"/>
      <c r="VTK49" s="159"/>
      <c r="VTL49" s="159"/>
      <c r="VTM49" s="159"/>
      <c r="VTN49" s="159"/>
      <c r="VTO49" s="159"/>
      <c r="VTP49" s="159"/>
      <c r="VTQ49" s="159"/>
      <c r="VTR49" s="159"/>
      <c r="VTS49" s="159"/>
      <c r="VTT49" s="159"/>
      <c r="VTU49" s="159"/>
      <c r="VTV49" s="159"/>
      <c r="VTW49" s="159"/>
      <c r="VTX49" s="159"/>
      <c r="VTY49" s="159"/>
      <c r="VTZ49" s="159"/>
      <c r="VUA49" s="159"/>
      <c r="VUB49" s="159"/>
      <c r="VUC49" s="159"/>
      <c r="VUD49" s="159"/>
      <c r="VUE49" s="159"/>
      <c r="VUF49" s="159"/>
      <c r="VUG49" s="159"/>
      <c r="VUH49" s="159"/>
      <c r="VUI49" s="159"/>
      <c r="VUJ49" s="159"/>
      <c r="VUK49" s="159"/>
      <c r="VUL49" s="159"/>
      <c r="VUM49" s="159"/>
      <c r="VUN49" s="159"/>
      <c r="VUO49" s="159"/>
      <c r="VUP49" s="159"/>
      <c r="VUQ49" s="159"/>
      <c r="VUR49" s="159"/>
      <c r="VUS49" s="159"/>
      <c r="VUT49" s="159"/>
      <c r="VUU49" s="159"/>
      <c r="VUV49" s="159"/>
      <c r="VUW49" s="159"/>
      <c r="VUX49" s="159"/>
      <c r="VUY49" s="159"/>
      <c r="VUZ49" s="159"/>
      <c r="VVA49" s="159"/>
      <c r="VVB49" s="159"/>
      <c r="VVC49" s="159"/>
      <c r="VVD49" s="159"/>
      <c r="VVE49" s="159"/>
      <c r="VVF49" s="159"/>
      <c r="VVG49" s="159"/>
      <c r="VVH49" s="159"/>
      <c r="VVI49" s="159"/>
      <c r="VVJ49" s="159"/>
      <c r="VVK49" s="159"/>
      <c r="VVL49" s="159"/>
      <c r="VVM49" s="159"/>
      <c r="VVN49" s="159"/>
      <c r="VVO49" s="159"/>
      <c r="VVP49" s="159"/>
      <c r="VVQ49" s="159"/>
      <c r="VVR49" s="159"/>
      <c r="VVS49" s="159"/>
      <c r="VVT49" s="159"/>
      <c r="VVU49" s="159"/>
      <c r="VVV49" s="159"/>
      <c r="VVW49" s="159"/>
      <c r="VVX49" s="159"/>
      <c r="VVY49" s="159"/>
      <c r="VVZ49" s="159"/>
      <c r="VWA49" s="159"/>
      <c r="VWB49" s="159"/>
      <c r="VWC49" s="159"/>
      <c r="VWD49" s="159"/>
      <c r="VWE49" s="159"/>
      <c r="VWF49" s="159"/>
      <c r="VWG49" s="159"/>
      <c r="VWH49" s="159"/>
      <c r="VWI49" s="159"/>
      <c r="VWJ49" s="159"/>
      <c r="VWK49" s="159"/>
      <c r="VWL49" s="159"/>
      <c r="VWM49" s="159"/>
      <c r="VWN49" s="159"/>
      <c r="VWO49" s="159"/>
      <c r="VWP49" s="159"/>
      <c r="VWQ49" s="159"/>
      <c r="VWR49" s="159"/>
      <c r="VWS49" s="159"/>
      <c r="VWT49" s="159"/>
      <c r="VWU49" s="159"/>
      <c r="VWV49" s="159"/>
      <c r="VWW49" s="159"/>
      <c r="VWX49" s="159"/>
      <c r="VWY49" s="159"/>
      <c r="VWZ49" s="159"/>
      <c r="VXA49" s="159"/>
      <c r="VXB49" s="159"/>
      <c r="VXC49" s="159"/>
      <c r="VXD49" s="159"/>
      <c r="VXE49" s="159"/>
      <c r="VXF49" s="159"/>
      <c r="VXG49" s="159"/>
      <c r="VXH49" s="159"/>
      <c r="VXI49" s="159"/>
      <c r="VXJ49" s="159"/>
      <c r="VXK49" s="159"/>
      <c r="VXL49" s="159"/>
      <c r="VXM49" s="159"/>
      <c r="VXN49" s="159"/>
      <c r="VXO49" s="159"/>
      <c r="VXP49" s="159"/>
      <c r="VXQ49" s="159"/>
      <c r="VXR49" s="159"/>
      <c r="VXS49" s="159"/>
      <c r="VXT49" s="159"/>
      <c r="VXU49" s="159"/>
      <c r="VXV49" s="159"/>
      <c r="VXW49" s="159"/>
      <c r="VXX49" s="159"/>
      <c r="VXY49" s="159"/>
      <c r="VXZ49" s="159"/>
      <c r="VYA49" s="159"/>
      <c r="VYB49" s="159"/>
      <c r="VYC49" s="159"/>
      <c r="VYD49" s="159"/>
      <c r="VYE49" s="159"/>
      <c r="VYF49" s="159"/>
      <c r="VYG49" s="159"/>
      <c r="VYH49" s="159"/>
      <c r="VYI49" s="159"/>
      <c r="VYJ49" s="159"/>
      <c r="VYK49" s="159"/>
      <c r="VYL49" s="159"/>
      <c r="VYM49" s="159"/>
      <c r="VYN49" s="159"/>
      <c r="VYO49" s="159"/>
      <c r="VYP49" s="159"/>
      <c r="VYQ49" s="159"/>
      <c r="VYR49" s="159"/>
      <c r="VYS49" s="159"/>
      <c r="VYT49" s="159"/>
      <c r="VYU49" s="159"/>
      <c r="VYV49" s="159"/>
      <c r="VYW49" s="159"/>
      <c r="VYX49" s="159"/>
      <c r="VYY49" s="159"/>
      <c r="VYZ49" s="159"/>
      <c r="VZA49" s="159"/>
      <c r="VZB49" s="159"/>
      <c r="VZC49" s="159"/>
      <c r="VZD49" s="159"/>
      <c r="VZE49" s="159"/>
      <c r="VZF49" s="159"/>
      <c r="VZG49" s="159"/>
      <c r="VZH49" s="159"/>
      <c r="VZI49" s="159"/>
      <c r="VZJ49" s="159"/>
      <c r="VZK49" s="159"/>
      <c r="VZL49" s="159"/>
      <c r="VZM49" s="159"/>
      <c r="VZN49" s="159"/>
      <c r="VZO49" s="159"/>
      <c r="VZP49" s="159"/>
      <c r="VZQ49" s="159"/>
      <c r="VZR49" s="159"/>
      <c r="VZS49" s="159"/>
      <c r="VZT49" s="159"/>
      <c r="VZU49" s="159"/>
      <c r="VZV49" s="159"/>
      <c r="VZW49" s="159"/>
      <c r="VZX49" s="159"/>
      <c r="VZY49" s="159"/>
      <c r="VZZ49" s="159"/>
      <c r="WAA49" s="159"/>
      <c r="WAB49" s="159"/>
      <c r="WAC49" s="159"/>
      <c r="WAD49" s="159"/>
      <c r="WAE49" s="159"/>
      <c r="WAF49" s="159"/>
      <c r="WAG49" s="159"/>
      <c r="WAH49" s="159"/>
      <c r="WAI49" s="159"/>
      <c r="WAJ49" s="159"/>
      <c r="WAK49" s="159"/>
      <c r="WAL49" s="159"/>
      <c r="WAM49" s="159"/>
      <c r="WAN49" s="159"/>
      <c r="WAO49" s="159"/>
      <c r="WAP49" s="159"/>
      <c r="WAQ49" s="159"/>
      <c r="WAR49" s="159"/>
      <c r="WAS49" s="159"/>
      <c r="WAT49" s="159"/>
      <c r="WAU49" s="159"/>
      <c r="WAV49" s="159"/>
      <c r="WAW49" s="159"/>
      <c r="WAX49" s="159"/>
      <c r="WAY49" s="159"/>
      <c r="WAZ49" s="159"/>
      <c r="WBA49" s="159"/>
      <c r="WBB49" s="159"/>
      <c r="WBC49" s="159"/>
      <c r="WBD49" s="159"/>
      <c r="WBE49" s="159"/>
      <c r="WBF49" s="159"/>
      <c r="WBG49" s="159"/>
      <c r="WBH49" s="159"/>
      <c r="WBI49" s="159"/>
      <c r="WBJ49" s="159"/>
      <c r="WBK49" s="159"/>
      <c r="WBL49" s="159"/>
      <c r="WBM49" s="159"/>
      <c r="WBN49" s="159"/>
      <c r="WBO49" s="159"/>
      <c r="WBP49" s="159"/>
      <c r="WBQ49" s="159"/>
      <c r="WBR49" s="159"/>
      <c r="WBS49" s="159"/>
      <c r="WBT49" s="159"/>
      <c r="WBU49" s="159"/>
      <c r="WBV49" s="159"/>
      <c r="WBW49" s="159"/>
      <c r="WBX49" s="159"/>
      <c r="WBY49" s="159"/>
      <c r="WBZ49" s="159"/>
      <c r="WCA49" s="159"/>
      <c r="WCB49" s="159"/>
      <c r="WCC49" s="159"/>
      <c r="WCD49" s="159"/>
      <c r="WCE49" s="159"/>
      <c r="WCF49" s="159"/>
      <c r="WCG49" s="159"/>
      <c r="WCH49" s="159"/>
      <c r="WCI49" s="159"/>
      <c r="WCJ49" s="159"/>
      <c r="WCK49" s="159"/>
      <c r="WCL49" s="159"/>
      <c r="WCM49" s="159"/>
      <c r="WCN49" s="159"/>
      <c r="WCO49" s="159"/>
      <c r="WCP49" s="159"/>
      <c r="WCQ49" s="159"/>
      <c r="WCR49" s="159"/>
      <c r="WCS49" s="159"/>
      <c r="WCT49" s="159"/>
      <c r="WCU49" s="159"/>
      <c r="WCV49" s="159"/>
      <c r="WCW49" s="159"/>
      <c r="WCX49" s="159"/>
      <c r="WCY49" s="159"/>
      <c r="WCZ49" s="159"/>
      <c r="WDA49" s="159"/>
      <c r="WDB49" s="159"/>
      <c r="WDC49" s="159"/>
      <c r="WDD49" s="159"/>
      <c r="WDE49" s="159"/>
      <c r="WDF49" s="159"/>
      <c r="WDG49" s="159"/>
      <c r="WDH49" s="159"/>
      <c r="WDI49" s="159"/>
      <c r="WDJ49" s="159"/>
      <c r="WDK49" s="159"/>
      <c r="WDL49" s="159"/>
      <c r="WDM49" s="159"/>
      <c r="WDN49" s="159"/>
      <c r="WDO49" s="159"/>
      <c r="WDP49" s="159"/>
      <c r="WDQ49" s="159"/>
      <c r="WDR49" s="159"/>
      <c r="WDS49" s="159"/>
      <c r="WDT49" s="159"/>
      <c r="WDU49" s="159"/>
      <c r="WDV49" s="159"/>
      <c r="WDW49" s="159"/>
      <c r="WDX49" s="159"/>
      <c r="WDY49" s="159"/>
      <c r="WDZ49" s="159"/>
      <c r="WEA49" s="159"/>
      <c r="WEB49" s="159"/>
      <c r="WEC49" s="159"/>
      <c r="WED49" s="159"/>
      <c r="WEE49" s="159"/>
      <c r="WEF49" s="159"/>
      <c r="WEG49" s="159"/>
      <c r="WEH49" s="159"/>
      <c r="WEI49" s="159"/>
      <c r="WEJ49" s="159"/>
      <c r="WEK49" s="159"/>
      <c r="WEL49" s="159"/>
      <c r="WEM49" s="159"/>
      <c r="WEN49" s="159"/>
      <c r="WEO49" s="159"/>
      <c r="WEP49" s="159"/>
      <c r="WEQ49" s="159"/>
      <c r="WER49" s="159"/>
      <c r="WES49" s="159"/>
      <c r="WET49" s="159"/>
      <c r="WEU49" s="159"/>
      <c r="WEV49" s="159"/>
      <c r="WEW49" s="159"/>
      <c r="WEX49" s="159"/>
      <c r="WEY49" s="159"/>
      <c r="WEZ49" s="159"/>
      <c r="WFA49" s="159"/>
      <c r="WFB49" s="159"/>
      <c r="WFC49" s="159"/>
      <c r="WFD49" s="159"/>
      <c r="WFE49" s="159"/>
      <c r="WFF49" s="159"/>
      <c r="WFG49" s="159"/>
      <c r="WFH49" s="159"/>
      <c r="WFI49" s="159"/>
      <c r="WFJ49" s="159"/>
      <c r="WFK49" s="159"/>
      <c r="WFL49" s="159"/>
      <c r="WFM49" s="159"/>
      <c r="WFN49" s="159"/>
      <c r="WFO49" s="159"/>
      <c r="WFP49" s="159"/>
      <c r="WFQ49" s="159"/>
      <c r="WFR49" s="159"/>
      <c r="WFS49" s="159"/>
      <c r="WFT49" s="159"/>
      <c r="WFU49" s="159"/>
      <c r="WFV49" s="159"/>
      <c r="WFW49" s="159"/>
      <c r="WFX49" s="159"/>
      <c r="WFY49" s="159"/>
      <c r="WFZ49" s="159"/>
      <c r="WGA49" s="159"/>
      <c r="WGB49" s="159"/>
      <c r="WGC49" s="159"/>
      <c r="WGD49" s="159"/>
      <c r="WGE49" s="159"/>
      <c r="WGF49" s="159"/>
      <c r="WGG49" s="159"/>
      <c r="WGH49" s="159"/>
      <c r="WGI49" s="159"/>
      <c r="WGJ49" s="159"/>
      <c r="WGK49" s="159"/>
      <c r="WGL49" s="159"/>
      <c r="WGM49" s="159"/>
      <c r="WGN49" s="159"/>
      <c r="WGO49" s="159"/>
      <c r="WGP49" s="159"/>
      <c r="WGQ49" s="159"/>
      <c r="WGR49" s="159"/>
      <c r="WGS49" s="159"/>
      <c r="WGT49" s="159"/>
      <c r="WGU49" s="159"/>
      <c r="WGV49" s="159"/>
      <c r="WGW49" s="159"/>
      <c r="WGX49" s="159"/>
      <c r="WGY49" s="159"/>
      <c r="WGZ49" s="159"/>
      <c r="WHA49" s="159"/>
      <c r="WHB49" s="159"/>
      <c r="WHC49" s="159"/>
      <c r="WHD49" s="159"/>
      <c r="WHE49" s="159"/>
      <c r="WHF49" s="159"/>
      <c r="WHG49" s="159"/>
      <c r="WHH49" s="159"/>
      <c r="WHI49" s="159"/>
      <c r="WHJ49" s="159"/>
      <c r="WHK49" s="159"/>
      <c r="WHL49" s="159"/>
      <c r="WHM49" s="159"/>
      <c r="WHN49" s="159"/>
      <c r="WHO49" s="159"/>
      <c r="WHP49" s="159"/>
      <c r="WHQ49" s="159"/>
      <c r="WHR49" s="159"/>
      <c r="WHS49" s="159"/>
      <c r="WHT49" s="159"/>
      <c r="WHU49" s="159"/>
      <c r="WHV49" s="159"/>
      <c r="WHW49" s="159"/>
      <c r="WHX49" s="159"/>
      <c r="WHY49" s="159"/>
      <c r="WHZ49" s="159"/>
      <c r="WIA49" s="159"/>
      <c r="WIB49" s="159"/>
      <c r="WIC49" s="159"/>
      <c r="WID49" s="159"/>
      <c r="WIE49" s="159"/>
      <c r="WIF49" s="159"/>
      <c r="WIG49" s="159"/>
      <c r="WIH49" s="159"/>
      <c r="WII49" s="159"/>
      <c r="WIJ49" s="159"/>
      <c r="WIK49" s="159"/>
      <c r="WIL49" s="159"/>
      <c r="WIM49" s="159"/>
      <c r="WIN49" s="159"/>
      <c r="WIO49" s="159"/>
      <c r="WIP49" s="159"/>
      <c r="WIQ49" s="159"/>
      <c r="WIR49" s="159"/>
      <c r="WIS49" s="159"/>
      <c r="WIT49" s="159"/>
      <c r="WIU49" s="159"/>
      <c r="WIV49" s="159"/>
      <c r="WIW49" s="159"/>
      <c r="WIX49" s="159"/>
      <c r="WIY49" s="159"/>
      <c r="WIZ49" s="159"/>
      <c r="WJA49" s="159"/>
      <c r="WJB49" s="159"/>
      <c r="WJC49" s="159"/>
      <c r="WJD49" s="159"/>
      <c r="WJE49" s="159"/>
      <c r="WJF49" s="159"/>
      <c r="WJG49" s="159"/>
      <c r="WJH49" s="159"/>
      <c r="WJI49" s="159"/>
      <c r="WJJ49" s="159"/>
      <c r="WJK49" s="159"/>
      <c r="WJL49" s="159"/>
      <c r="WJM49" s="159"/>
      <c r="WJN49" s="159"/>
      <c r="WJO49" s="159"/>
      <c r="WJP49" s="159"/>
      <c r="WJQ49" s="159"/>
      <c r="WJR49" s="159"/>
      <c r="WJS49" s="159"/>
      <c r="WJT49" s="159"/>
      <c r="WJU49" s="159"/>
      <c r="WJV49" s="159"/>
      <c r="WJW49" s="159"/>
      <c r="WJX49" s="159"/>
      <c r="WJY49" s="159"/>
      <c r="WJZ49" s="159"/>
      <c r="WKA49" s="159"/>
      <c r="WKB49" s="159"/>
      <c r="WKC49" s="159"/>
      <c r="WKD49" s="159"/>
      <c r="WKE49" s="159"/>
      <c r="WKF49" s="159"/>
      <c r="WKG49" s="159"/>
      <c r="WKH49" s="159"/>
      <c r="WKI49" s="159"/>
      <c r="WKJ49" s="159"/>
      <c r="WKK49" s="159"/>
      <c r="WKL49" s="159"/>
      <c r="WKM49" s="159"/>
      <c r="WKN49" s="159"/>
      <c r="WKO49" s="159"/>
      <c r="WKP49" s="159"/>
      <c r="WKQ49" s="159"/>
      <c r="WKR49" s="159"/>
      <c r="WKS49" s="159"/>
      <c r="WKT49" s="159"/>
      <c r="WKU49" s="159"/>
      <c r="WKV49" s="159"/>
      <c r="WKW49" s="159"/>
      <c r="WKX49" s="159"/>
      <c r="WKY49" s="159"/>
      <c r="WKZ49" s="159"/>
      <c r="WLA49" s="159"/>
      <c r="WLB49" s="159"/>
      <c r="WLC49" s="159"/>
      <c r="WLD49" s="159"/>
      <c r="WLE49" s="159"/>
      <c r="WLF49" s="159"/>
      <c r="WLG49" s="159"/>
      <c r="WLH49" s="159"/>
      <c r="WLI49" s="159"/>
      <c r="WLJ49" s="159"/>
      <c r="WLK49" s="159"/>
      <c r="WLL49" s="159"/>
      <c r="WLM49" s="159"/>
      <c r="WLN49" s="159"/>
      <c r="WLO49" s="159"/>
      <c r="WLP49" s="159"/>
      <c r="WLQ49" s="159"/>
      <c r="WLR49" s="159"/>
      <c r="WLS49" s="159"/>
      <c r="WLT49" s="159"/>
      <c r="WLU49" s="159"/>
      <c r="WLV49" s="159"/>
      <c r="WLW49" s="159"/>
      <c r="WLX49" s="159"/>
      <c r="WLY49" s="159"/>
      <c r="WLZ49" s="159"/>
      <c r="WMA49" s="159"/>
      <c r="WMB49" s="159"/>
      <c r="WMC49" s="159"/>
      <c r="WMD49" s="159"/>
      <c r="WME49" s="159"/>
      <c r="WMF49" s="159"/>
      <c r="WMG49" s="159"/>
      <c r="WMH49" s="159"/>
      <c r="WMI49" s="159"/>
      <c r="WMJ49" s="159"/>
      <c r="WMK49" s="159"/>
      <c r="WML49" s="159"/>
      <c r="WMM49" s="159"/>
      <c r="WMN49" s="159"/>
      <c r="WMO49" s="159"/>
      <c r="WMP49" s="159"/>
      <c r="WMQ49" s="159"/>
      <c r="WMR49" s="159"/>
      <c r="WMS49" s="159"/>
      <c r="WMT49" s="159"/>
      <c r="WMU49" s="159"/>
      <c r="WMV49" s="159"/>
      <c r="WMW49" s="159"/>
      <c r="WMX49" s="159"/>
      <c r="WMY49" s="159"/>
      <c r="WMZ49" s="159"/>
      <c r="WNA49" s="159"/>
      <c r="WNB49" s="159"/>
      <c r="WNC49" s="159"/>
      <c r="WND49" s="159"/>
      <c r="WNE49" s="159"/>
      <c r="WNF49" s="159"/>
      <c r="WNG49" s="159"/>
      <c r="WNH49" s="159"/>
      <c r="WNI49" s="159"/>
      <c r="WNJ49" s="159"/>
      <c r="WNK49" s="159"/>
      <c r="WNL49" s="159"/>
      <c r="WNM49" s="159"/>
      <c r="WNN49" s="159"/>
      <c r="WNO49" s="159"/>
      <c r="WNP49" s="159"/>
      <c r="WNQ49" s="159"/>
      <c r="WNR49" s="159"/>
      <c r="WNS49" s="159"/>
      <c r="WNT49" s="159"/>
      <c r="WNU49" s="159"/>
      <c r="WNV49" s="159"/>
      <c r="WNW49" s="159"/>
      <c r="WNX49" s="159"/>
      <c r="WNY49" s="159"/>
      <c r="WNZ49" s="159"/>
      <c r="WOA49" s="159"/>
      <c r="WOB49" s="159"/>
      <c r="WOC49" s="159"/>
      <c r="WOD49" s="159"/>
      <c r="WOE49" s="159"/>
      <c r="WOF49" s="159"/>
      <c r="WOG49" s="159"/>
      <c r="WOH49" s="159"/>
      <c r="WOI49" s="159"/>
      <c r="WOJ49" s="159"/>
      <c r="WOK49" s="159"/>
      <c r="WOL49" s="159"/>
      <c r="WOM49" s="159"/>
      <c r="WON49" s="159"/>
      <c r="WOO49" s="159"/>
      <c r="WOP49" s="159"/>
      <c r="WOQ49" s="159"/>
      <c r="WOR49" s="159"/>
      <c r="WOS49" s="159"/>
      <c r="WOT49" s="159"/>
      <c r="WOU49" s="159"/>
      <c r="WOV49" s="159"/>
      <c r="WOW49" s="159"/>
      <c r="WOX49" s="159"/>
      <c r="WOY49" s="159"/>
      <c r="WOZ49" s="159"/>
      <c r="WPA49" s="159"/>
      <c r="WPB49" s="159"/>
      <c r="WPC49" s="159"/>
      <c r="WPD49" s="159"/>
      <c r="WPE49" s="159"/>
      <c r="WPF49" s="159"/>
      <c r="WPG49" s="159"/>
      <c r="WPH49" s="159"/>
      <c r="WPI49" s="159"/>
      <c r="WPJ49" s="159"/>
      <c r="WPK49" s="159"/>
      <c r="WPL49" s="159"/>
      <c r="WPM49" s="159"/>
      <c r="WPN49" s="159"/>
      <c r="WPO49" s="159"/>
      <c r="WPP49" s="159"/>
      <c r="WPQ49" s="159"/>
      <c r="WPR49" s="159"/>
      <c r="WPS49" s="159"/>
      <c r="WPT49" s="159"/>
      <c r="WPU49" s="159"/>
      <c r="WPV49" s="159"/>
      <c r="WPW49" s="159"/>
      <c r="WPX49" s="159"/>
      <c r="WPY49" s="159"/>
      <c r="WPZ49" s="159"/>
      <c r="WQA49" s="159"/>
      <c r="WQB49" s="159"/>
      <c r="WQC49" s="159"/>
      <c r="WQD49" s="159"/>
      <c r="WQE49" s="159"/>
      <c r="WQF49" s="159"/>
      <c r="WQG49" s="159"/>
      <c r="WQH49" s="159"/>
      <c r="WQI49" s="159"/>
      <c r="WQJ49" s="159"/>
      <c r="WQK49" s="159"/>
      <c r="WQL49" s="159"/>
      <c r="WQM49" s="159"/>
      <c r="WQN49" s="159"/>
      <c r="WQO49" s="159"/>
      <c r="WQP49" s="159"/>
      <c r="WQQ49" s="159"/>
      <c r="WQR49" s="159"/>
      <c r="WQS49" s="159"/>
      <c r="WQT49" s="159"/>
      <c r="WQU49" s="159"/>
      <c r="WQV49" s="159"/>
      <c r="WQW49" s="159"/>
      <c r="WQX49" s="159"/>
      <c r="WQY49" s="159"/>
      <c r="WQZ49" s="159"/>
      <c r="WRA49" s="159"/>
      <c r="WRB49" s="159"/>
      <c r="WRC49" s="159"/>
      <c r="WRD49" s="159"/>
      <c r="WRE49" s="159"/>
      <c r="WRF49" s="159"/>
      <c r="WRG49" s="159"/>
      <c r="WRH49" s="159"/>
      <c r="WRI49" s="159"/>
      <c r="WRJ49" s="159"/>
      <c r="WRK49" s="159"/>
      <c r="WRL49" s="159"/>
      <c r="WRM49" s="159"/>
      <c r="WRN49" s="159"/>
      <c r="WRO49" s="159"/>
      <c r="WRP49" s="159"/>
      <c r="WRQ49" s="159"/>
      <c r="WRR49" s="159"/>
      <c r="WRS49" s="159"/>
      <c r="WRT49" s="159"/>
      <c r="WRU49" s="159"/>
      <c r="WRV49" s="159"/>
      <c r="WRW49" s="159"/>
      <c r="WRX49" s="159"/>
      <c r="WRY49" s="159"/>
      <c r="WRZ49" s="159"/>
      <c r="WSA49" s="159"/>
      <c r="WSB49" s="159"/>
      <c r="WSC49" s="159"/>
      <c r="WSD49" s="159"/>
      <c r="WSE49" s="159"/>
      <c r="WSF49" s="159"/>
      <c r="WSG49" s="159"/>
      <c r="WSH49" s="159"/>
      <c r="WSI49" s="159"/>
      <c r="WSJ49" s="159"/>
      <c r="WSK49" s="159"/>
      <c r="WSL49" s="159"/>
      <c r="WSM49" s="159"/>
      <c r="WSN49" s="159"/>
      <c r="WSO49" s="159"/>
      <c r="WSP49" s="159"/>
      <c r="WSQ49" s="159"/>
      <c r="WSR49" s="159"/>
      <c r="WSS49" s="159"/>
      <c r="WST49" s="159"/>
      <c r="WSU49" s="159"/>
      <c r="WSV49" s="159"/>
      <c r="WSW49" s="159"/>
      <c r="WSX49" s="159"/>
      <c r="WSY49" s="159"/>
      <c r="WSZ49" s="159"/>
      <c r="WTA49" s="159"/>
      <c r="WTB49" s="159"/>
      <c r="WTC49" s="159"/>
      <c r="WTD49" s="159"/>
      <c r="WTE49" s="159"/>
      <c r="WTF49" s="159"/>
      <c r="WTG49" s="159"/>
      <c r="WTH49" s="159"/>
      <c r="WTI49" s="159"/>
      <c r="WTJ49" s="159"/>
      <c r="WTK49" s="159"/>
      <c r="WTL49" s="159"/>
      <c r="WTM49" s="159"/>
      <c r="WTN49" s="159"/>
      <c r="WTO49" s="159"/>
      <c r="WTP49" s="159"/>
      <c r="WTQ49" s="159"/>
      <c r="WTR49" s="159"/>
      <c r="WTS49" s="159"/>
      <c r="WTT49" s="159"/>
      <c r="WTU49" s="159"/>
      <c r="WTV49" s="159"/>
      <c r="WTW49" s="159"/>
      <c r="WTX49" s="159"/>
      <c r="WTY49" s="159"/>
      <c r="WTZ49" s="159"/>
      <c r="WUA49" s="159"/>
      <c r="WUB49" s="159"/>
      <c r="WUC49" s="159"/>
      <c r="WUD49" s="159"/>
      <c r="WUE49" s="159"/>
      <c r="WUF49" s="159"/>
      <c r="WUG49" s="159"/>
      <c r="WUH49" s="159"/>
      <c r="WUI49" s="159"/>
      <c r="WUJ49" s="159"/>
      <c r="WUK49" s="159"/>
      <c r="WUL49" s="159"/>
      <c r="WUM49" s="159"/>
      <c r="WUN49" s="159"/>
      <c r="WUO49" s="159"/>
      <c r="WUP49" s="159"/>
      <c r="WUQ49" s="159"/>
      <c r="WUR49" s="159"/>
      <c r="WUS49" s="159"/>
      <c r="WUT49" s="159"/>
      <c r="WUU49" s="159"/>
      <c r="WUV49" s="159"/>
      <c r="WUW49" s="159"/>
      <c r="WUX49" s="159"/>
      <c r="WUY49" s="159"/>
      <c r="WUZ49" s="159"/>
      <c r="WVA49" s="159"/>
      <c r="WVB49" s="159"/>
      <c r="WVC49" s="159"/>
      <c r="WVD49" s="159"/>
      <c r="WVE49" s="159"/>
      <c r="WVF49" s="159"/>
      <c r="WVG49" s="159"/>
      <c r="WVH49" s="159"/>
      <c r="WVI49" s="159"/>
      <c r="WVJ49" s="159"/>
      <c r="WVK49" s="159"/>
      <c r="WVL49" s="159"/>
      <c r="WVM49" s="159"/>
      <c r="WVN49" s="159"/>
      <c r="WVO49" s="159"/>
      <c r="WVP49" s="159"/>
      <c r="WVQ49" s="159"/>
      <c r="WVR49" s="159"/>
      <c r="WVS49" s="159"/>
      <c r="WVT49" s="159"/>
      <c r="WVU49" s="159"/>
      <c r="WVV49" s="159"/>
      <c r="WVW49" s="159"/>
      <c r="WVX49" s="159"/>
      <c r="WVY49" s="159"/>
      <c r="WVZ49" s="159"/>
      <c r="WWA49" s="159"/>
      <c r="WWB49" s="159"/>
      <c r="WWC49" s="159"/>
      <c r="WWD49" s="159"/>
      <c r="WWE49" s="159"/>
      <c r="WWF49" s="159"/>
      <c r="WWG49" s="159"/>
      <c r="WWH49" s="159"/>
      <c r="WWI49" s="159"/>
      <c r="WWJ49" s="159"/>
      <c r="WWK49" s="159"/>
      <c r="WWL49" s="159"/>
      <c r="WWM49" s="159"/>
      <c r="WWN49" s="159"/>
      <c r="WWO49" s="159"/>
      <c r="WWP49" s="159"/>
      <c r="WWQ49" s="159"/>
      <c r="WWR49" s="159"/>
      <c r="WWS49" s="159"/>
      <c r="WWT49" s="159"/>
      <c r="WWU49" s="159"/>
      <c r="WWV49" s="159"/>
      <c r="WWW49" s="159"/>
      <c r="WWX49" s="159"/>
      <c r="WWY49" s="159"/>
      <c r="WWZ49" s="159"/>
      <c r="WXA49" s="159"/>
      <c r="WXB49" s="159"/>
      <c r="WXC49" s="159"/>
      <c r="WXD49" s="159"/>
      <c r="WXE49" s="159"/>
      <c r="WXF49" s="159"/>
      <c r="WXG49" s="159"/>
      <c r="WXH49" s="159"/>
      <c r="WXI49" s="159"/>
      <c r="WXJ49" s="159"/>
      <c r="WXK49" s="159"/>
      <c r="WXL49" s="159"/>
      <c r="WXM49" s="159"/>
      <c r="WXN49" s="159"/>
      <c r="WXO49" s="159"/>
      <c r="WXP49" s="159"/>
      <c r="WXQ49" s="159"/>
      <c r="WXR49" s="159"/>
      <c r="WXS49" s="159"/>
      <c r="WXT49" s="159"/>
      <c r="WXU49" s="159"/>
      <c r="WXV49" s="159"/>
      <c r="WXW49" s="159"/>
      <c r="WXX49" s="159"/>
      <c r="WXY49" s="159"/>
      <c r="WXZ49" s="159"/>
      <c r="WYA49" s="159"/>
      <c r="WYB49" s="159"/>
      <c r="WYC49" s="159"/>
      <c r="WYD49" s="159"/>
      <c r="WYE49" s="159"/>
      <c r="WYF49" s="159"/>
      <c r="WYG49" s="159"/>
      <c r="WYH49" s="159"/>
      <c r="WYI49" s="159"/>
      <c r="WYJ49" s="159"/>
      <c r="WYK49" s="159"/>
      <c r="WYL49" s="159"/>
      <c r="WYM49" s="159"/>
      <c r="WYN49" s="159"/>
      <c r="WYO49" s="159"/>
      <c r="WYP49" s="159"/>
      <c r="WYQ49" s="159"/>
      <c r="WYR49" s="159"/>
      <c r="WYS49" s="159"/>
      <c r="WYT49" s="159"/>
      <c r="WYU49" s="159"/>
      <c r="WYV49" s="159"/>
      <c r="WYW49" s="159"/>
      <c r="WYX49" s="159"/>
      <c r="WYY49" s="159"/>
      <c r="WYZ49" s="159"/>
      <c r="WZA49" s="159"/>
      <c r="WZB49" s="159"/>
      <c r="WZC49" s="159"/>
      <c r="WZD49" s="159"/>
      <c r="WZE49" s="159"/>
      <c r="WZF49" s="159"/>
      <c r="WZG49" s="159"/>
      <c r="WZH49" s="159"/>
      <c r="WZI49" s="159"/>
      <c r="WZJ49" s="159"/>
      <c r="WZK49" s="159"/>
      <c r="WZL49" s="159"/>
      <c r="WZM49" s="159"/>
      <c r="WZN49" s="159"/>
      <c r="WZO49" s="159"/>
      <c r="WZP49" s="159"/>
      <c r="WZQ49" s="159"/>
      <c r="WZR49" s="159"/>
      <c r="WZS49" s="159"/>
      <c r="WZT49" s="159"/>
      <c r="WZU49" s="159"/>
      <c r="WZV49" s="159"/>
      <c r="WZW49" s="159"/>
      <c r="WZX49" s="159"/>
      <c r="WZY49" s="159"/>
      <c r="WZZ49" s="159"/>
      <c r="XAA49" s="159"/>
      <c r="XAB49" s="159"/>
      <c r="XAC49" s="159"/>
      <c r="XAD49" s="159"/>
      <c r="XAE49" s="159"/>
      <c r="XAF49" s="159"/>
      <c r="XAG49" s="159"/>
      <c r="XAH49" s="159"/>
      <c r="XAI49" s="159"/>
      <c r="XAJ49" s="159"/>
      <c r="XAK49" s="159"/>
      <c r="XAL49" s="159"/>
      <c r="XAM49" s="159"/>
      <c r="XAN49" s="159"/>
      <c r="XAO49" s="159"/>
      <c r="XAP49" s="159"/>
      <c r="XAQ49" s="159"/>
      <c r="XAR49" s="159"/>
      <c r="XAS49" s="159"/>
      <c r="XAT49" s="159"/>
      <c r="XAU49" s="159"/>
      <c r="XAV49" s="159"/>
      <c r="XAW49" s="159"/>
      <c r="XAX49" s="159"/>
      <c r="XAY49" s="159"/>
      <c r="XAZ49" s="159"/>
      <c r="XBA49" s="159"/>
      <c r="XBB49" s="159"/>
      <c r="XBC49" s="159"/>
      <c r="XBD49" s="159"/>
      <c r="XBE49" s="159"/>
      <c r="XBF49" s="159"/>
      <c r="XBG49" s="159"/>
      <c r="XBH49" s="159"/>
      <c r="XBI49" s="159"/>
      <c r="XBJ49" s="159"/>
      <c r="XBK49" s="159"/>
      <c r="XBL49" s="159"/>
      <c r="XBM49" s="159"/>
      <c r="XBN49" s="159"/>
      <c r="XBO49" s="159"/>
      <c r="XBP49" s="159"/>
      <c r="XBQ49" s="159"/>
      <c r="XBR49" s="159"/>
      <c r="XBS49" s="159"/>
      <c r="XBT49" s="159"/>
      <c r="XBU49" s="159"/>
      <c r="XBV49" s="159"/>
      <c r="XBW49" s="159"/>
      <c r="XBX49" s="159"/>
      <c r="XBY49" s="159"/>
      <c r="XBZ49" s="159"/>
      <c r="XCA49" s="159"/>
      <c r="XCB49" s="159"/>
      <c r="XCC49" s="159"/>
      <c r="XCD49" s="159"/>
      <c r="XCE49" s="159"/>
      <c r="XCF49" s="159"/>
      <c r="XCG49" s="159"/>
      <c r="XCH49" s="159"/>
      <c r="XCI49" s="159"/>
      <c r="XCJ49" s="159"/>
      <c r="XCK49" s="159"/>
      <c r="XCL49" s="159"/>
      <c r="XCM49" s="159"/>
      <c r="XCN49" s="159"/>
      <c r="XCO49" s="159"/>
      <c r="XCP49" s="159"/>
      <c r="XCQ49" s="159"/>
      <c r="XCR49" s="159"/>
      <c r="XCS49" s="159"/>
      <c r="XCT49" s="159"/>
      <c r="XCU49" s="159"/>
      <c r="XCV49" s="159"/>
      <c r="XCW49" s="159"/>
      <c r="XCX49" s="159"/>
      <c r="XCY49" s="159"/>
      <c r="XCZ49" s="159"/>
      <c r="XDA49" s="159"/>
      <c r="XDB49" s="159"/>
      <c r="XDC49" s="159"/>
      <c r="XDD49" s="159"/>
      <c r="XDE49" s="159"/>
      <c r="XDF49" s="159"/>
      <c r="XDG49" s="159"/>
      <c r="XDH49" s="159"/>
      <c r="XDI49" s="159"/>
      <c r="XDJ49" s="159"/>
      <c r="XDK49" s="159"/>
      <c r="XDL49" s="159"/>
      <c r="XDM49" s="159"/>
      <c r="XDN49" s="159"/>
      <c r="XDO49" s="159"/>
      <c r="XDP49" s="159"/>
      <c r="XDQ49" s="159"/>
      <c r="XDR49" s="159"/>
      <c r="XDS49" s="159"/>
      <c r="XDT49" s="159"/>
      <c r="XDU49" s="159"/>
      <c r="XDV49" s="159"/>
      <c r="XDW49" s="159"/>
      <c r="XDX49" s="159"/>
      <c r="XDY49" s="159"/>
      <c r="XDZ49" s="159"/>
      <c r="XEA49" s="159"/>
      <c r="XEB49" s="159"/>
      <c r="XEC49" s="159"/>
      <c r="XED49" s="159"/>
      <c r="XEE49" s="159"/>
      <c r="XEF49" s="159"/>
      <c r="XEG49" s="159"/>
      <c r="XEH49" s="159"/>
      <c r="XEI49" s="159"/>
      <c r="XEJ49" s="159"/>
      <c r="XEK49" s="159"/>
      <c r="XEL49" s="159"/>
      <c r="XEM49" s="159"/>
      <c r="XEN49" s="159"/>
      <c r="XEO49" s="159"/>
      <c r="XEP49" s="159"/>
      <c r="XEQ49" s="159"/>
      <c r="XER49" s="159"/>
      <c r="XES49" s="159"/>
      <c r="XET49" s="159"/>
      <c r="XEU49" s="159"/>
      <c r="XEV49" s="159"/>
      <c r="XEW49" s="159"/>
      <c r="XEX49" s="159"/>
      <c r="XEY49" s="159"/>
      <c r="XEZ49" s="159"/>
      <c r="XFA49" s="159"/>
      <c r="XFB49" s="159"/>
      <c r="XFC49" s="159"/>
    </row>
    <row r="50" spans="1:16383" ht="8.1" customHeight="1">
      <c r="A50" s="160"/>
      <c r="B50" s="160"/>
      <c r="C50" s="160"/>
      <c r="D50" s="160"/>
      <c r="E50" s="160"/>
      <c r="F50" s="160"/>
      <c r="G50" s="160"/>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c r="CW50" s="159"/>
      <c r="CX50" s="159"/>
      <c r="CY50" s="159"/>
      <c r="CZ50" s="159"/>
      <c r="DA50" s="159"/>
      <c r="DB50" s="159"/>
      <c r="DC50" s="159"/>
      <c r="DD50" s="159"/>
      <c r="DE50" s="159"/>
      <c r="DF50" s="159"/>
      <c r="DG50" s="159"/>
      <c r="DH50" s="159"/>
      <c r="DI50" s="159"/>
      <c r="DJ50" s="159"/>
      <c r="DK50" s="159"/>
      <c r="DL50" s="159"/>
      <c r="DM50" s="159"/>
      <c r="DN50" s="159"/>
      <c r="DO50" s="159"/>
      <c r="DP50" s="159"/>
      <c r="DQ50" s="159"/>
      <c r="DR50" s="159"/>
      <c r="DS50" s="159"/>
      <c r="DT50" s="159"/>
      <c r="DU50" s="159"/>
      <c r="DV50" s="159"/>
      <c r="DW50" s="159"/>
      <c r="DX50" s="159"/>
      <c r="DY50" s="159"/>
      <c r="DZ50" s="159"/>
      <c r="EA50" s="159"/>
      <c r="EB50" s="159"/>
      <c r="EC50" s="159"/>
      <c r="ED50" s="159"/>
      <c r="EE50" s="159"/>
      <c r="EF50" s="159"/>
      <c r="EG50" s="159"/>
      <c r="EH50" s="159"/>
      <c r="EI50" s="159"/>
      <c r="EJ50" s="159"/>
      <c r="EK50" s="159"/>
      <c r="EL50" s="159"/>
      <c r="EM50" s="159"/>
      <c r="EN50" s="159"/>
      <c r="EO50" s="159"/>
      <c r="EP50" s="159"/>
      <c r="EQ50" s="159"/>
      <c r="ER50" s="159"/>
      <c r="ES50" s="159"/>
      <c r="ET50" s="159"/>
      <c r="EU50" s="159"/>
      <c r="EV50" s="159"/>
      <c r="EW50" s="159"/>
      <c r="EX50" s="159"/>
      <c r="EY50" s="159"/>
      <c r="EZ50" s="159"/>
      <c r="FA50" s="159"/>
      <c r="FB50" s="159"/>
      <c r="FC50" s="159"/>
      <c r="FD50" s="159"/>
      <c r="FE50" s="159"/>
      <c r="FF50" s="159"/>
      <c r="FG50" s="159"/>
      <c r="FH50" s="159"/>
      <c r="FI50" s="159"/>
      <c r="FJ50" s="159"/>
      <c r="FK50" s="159"/>
      <c r="FL50" s="159"/>
      <c r="FM50" s="159"/>
      <c r="FN50" s="159"/>
      <c r="FO50" s="159"/>
      <c r="FP50" s="159"/>
      <c r="FQ50" s="159"/>
      <c r="FR50" s="159"/>
      <c r="FS50" s="159"/>
      <c r="FT50" s="159"/>
      <c r="FU50" s="159"/>
      <c r="FV50" s="159"/>
      <c r="FW50" s="159"/>
      <c r="FX50" s="159"/>
      <c r="FY50" s="159"/>
      <c r="FZ50" s="159"/>
      <c r="GA50" s="159"/>
      <c r="GB50" s="159"/>
      <c r="GC50" s="159"/>
      <c r="GD50" s="159"/>
      <c r="GE50" s="159"/>
      <c r="GF50" s="159"/>
      <c r="GG50" s="159"/>
      <c r="GH50" s="159"/>
      <c r="GI50" s="159"/>
      <c r="GJ50" s="159"/>
      <c r="GK50" s="159"/>
      <c r="GL50" s="159"/>
      <c r="GM50" s="159"/>
      <c r="GN50" s="159"/>
      <c r="GO50" s="159"/>
      <c r="GP50" s="159"/>
      <c r="GQ50" s="159"/>
      <c r="GR50" s="159"/>
      <c r="GS50" s="159"/>
      <c r="GT50" s="159"/>
      <c r="GU50" s="159"/>
      <c r="GV50" s="159"/>
      <c r="GW50" s="159"/>
      <c r="GX50" s="159"/>
      <c r="GY50" s="159"/>
      <c r="GZ50" s="159"/>
      <c r="HA50" s="159"/>
      <c r="HB50" s="159"/>
      <c r="HC50" s="159"/>
      <c r="HD50" s="159"/>
      <c r="HE50" s="159"/>
      <c r="HF50" s="159"/>
      <c r="HG50" s="159"/>
      <c r="HH50" s="159"/>
      <c r="HI50" s="159"/>
      <c r="HJ50" s="159"/>
      <c r="HK50" s="159"/>
      <c r="HL50" s="159"/>
      <c r="HM50" s="159"/>
      <c r="HN50" s="159"/>
      <c r="HO50" s="159"/>
      <c r="HP50" s="159"/>
      <c r="HQ50" s="159"/>
      <c r="HR50" s="159"/>
      <c r="HS50" s="159"/>
      <c r="HT50" s="159"/>
      <c r="HU50" s="159"/>
      <c r="HV50" s="159"/>
      <c r="HW50" s="159"/>
      <c r="HX50" s="159"/>
      <c r="HY50" s="159"/>
      <c r="HZ50" s="159"/>
      <c r="IA50" s="159"/>
      <c r="IB50" s="159"/>
      <c r="IC50" s="159"/>
      <c r="ID50" s="159"/>
      <c r="IE50" s="159"/>
      <c r="IF50" s="159"/>
      <c r="IG50" s="159"/>
      <c r="IH50" s="159"/>
      <c r="II50" s="159"/>
      <c r="IJ50" s="159"/>
      <c r="IK50" s="159"/>
      <c r="IL50" s="159"/>
      <c r="IM50" s="159"/>
      <c r="IN50" s="159"/>
      <c r="IO50" s="159"/>
      <c r="IP50" s="159"/>
      <c r="IQ50" s="159"/>
      <c r="IR50" s="159"/>
      <c r="IS50" s="159"/>
      <c r="IT50" s="159"/>
      <c r="IU50" s="159"/>
      <c r="IV50" s="159"/>
      <c r="IW50" s="159"/>
      <c r="IX50" s="159"/>
      <c r="IY50" s="159"/>
      <c r="IZ50" s="159"/>
      <c r="JA50" s="159"/>
      <c r="JB50" s="159"/>
      <c r="JC50" s="159"/>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c r="KJ50" s="159"/>
      <c r="KK50" s="159"/>
      <c r="KL50" s="159"/>
      <c r="KM50" s="159"/>
      <c r="KN50" s="159"/>
      <c r="KO50" s="159"/>
      <c r="KP50" s="159"/>
      <c r="KQ50" s="159"/>
      <c r="KR50" s="159"/>
      <c r="KS50" s="159"/>
      <c r="KT50" s="159"/>
      <c r="KU50" s="159"/>
      <c r="KV50" s="159"/>
      <c r="KW50" s="159"/>
      <c r="KX50" s="159"/>
      <c r="KY50" s="159"/>
      <c r="KZ50" s="159"/>
      <c r="LA50" s="159"/>
      <c r="LB50" s="159"/>
      <c r="LC50" s="159"/>
      <c r="LD50" s="159"/>
      <c r="LE50" s="159"/>
      <c r="LF50" s="159"/>
      <c r="LG50" s="159"/>
      <c r="LH50" s="159"/>
      <c r="LI50" s="159"/>
      <c r="LJ50" s="159"/>
      <c r="LK50" s="159"/>
      <c r="LL50" s="159"/>
      <c r="LM50" s="159"/>
      <c r="LN50" s="159"/>
      <c r="LO50" s="159"/>
      <c r="LP50" s="159"/>
      <c r="LQ50" s="159"/>
      <c r="LR50" s="159"/>
      <c r="LS50" s="159"/>
      <c r="LT50" s="159"/>
      <c r="LU50" s="159"/>
      <c r="LV50" s="159"/>
      <c r="LW50" s="159"/>
      <c r="LX50" s="159"/>
      <c r="LY50" s="159"/>
      <c r="LZ50" s="159"/>
      <c r="MA50" s="159"/>
      <c r="MB50" s="159"/>
      <c r="MC50" s="159"/>
      <c r="MD50" s="159"/>
      <c r="ME50" s="159"/>
      <c r="MF50" s="159"/>
      <c r="MG50" s="159"/>
      <c r="MH50" s="159"/>
      <c r="MI50" s="159"/>
      <c r="MJ50" s="159"/>
      <c r="MK50" s="159"/>
      <c r="ML50" s="159"/>
      <c r="MM50" s="159"/>
      <c r="MN50" s="159"/>
      <c r="MO50" s="159"/>
      <c r="MP50" s="159"/>
      <c r="MQ50" s="159"/>
      <c r="MR50" s="159"/>
      <c r="MS50" s="159"/>
      <c r="MT50" s="159"/>
      <c r="MU50" s="159"/>
      <c r="MV50" s="159"/>
      <c r="MW50" s="159"/>
      <c r="MX50" s="159"/>
      <c r="MY50" s="159"/>
      <c r="MZ50" s="159"/>
      <c r="NA50" s="159"/>
      <c r="NB50" s="159"/>
      <c r="NC50" s="159"/>
      <c r="ND50" s="159"/>
      <c r="NE50" s="159"/>
      <c r="NF50" s="159"/>
      <c r="NG50" s="159"/>
      <c r="NH50" s="159"/>
      <c r="NI50" s="159"/>
      <c r="NJ50" s="159"/>
      <c r="NK50" s="159"/>
      <c r="NL50" s="159"/>
      <c r="NM50" s="159"/>
      <c r="NN50" s="159"/>
      <c r="NO50" s="159"/>
      <c r="NP50" s="159"/>
      <c r="NQ50" s="159"/>
      <c r="NR50" s="159"/>
      <c r="NS50" s="159"/>
      <c r="NT50" s="159"/>
      <c r="NU50" s="159"/>
      <c r="NV50" s="159"/>
      <c r="NW50" s="159"/>
      <c r="NX50" s="159"/>
      <c r="NY50" s="159"/>
      <c r="NZ50" s="159"/>
      <c r="OA50" s="159"/>
      <c r="OB50" s="159"/>
      <c r="OC50" s="159"/>
      <c r="OD50" s="159"/>
      <c r="OE50" s="159"/>
      <c r="OF50" s="159"/>
      <c r="OG50" s="159"/>
      <c r="OH50" s="159"/>
      <c r="OI50" s="159"/>
      <c r="OJ50" s="159"/>
      <c r="OK50" s="159"/>
      <c r="OL50" s="159"/>
      <c r="OM50" s="159"/>
      <c r="ON50" s="159"/>
      <c r="OO50" s="159"/>
      <c r="OP50" s="159"/>
      <c r="OQ50" s="159"/>
      <c r="OR50" s="159"/>
      <c r="OS50" s="159"/>
      <c r="OT50" s="159"/>
      <c r="OU50" s="159"/>
      <c r="OV50" s="159"/>
      <c r="OW50" s="159"/>
      <c r="OX50" s="159"/>
      <c r="OY50" s="159"/>
      <c r="OZ50" s="159"/>
      <c r="PA50" s="159"/>
      <c r="PB50" s="159"/>
      <c r="PC50" s="159"/>
      <c r="PD50" s="159"/>
      <c r="PE50" s="159"/>
      <c r="PF50" s="159"/>
      <c r="PG50" s="159"/>
      <c r="PH50" s="159"/>
      <c r="PI50" s="159"/>
      <c r="PJ50" s="159"/>
      <c r="PK50" s="159"/>
      <c r="PL50" s="159"/>
      <c r="PM50" s="159"/>
      <c r="PN50" s="159"/>
      <c r="PO50" s="159"/>
      <c r="PP50" s="159"/>
      <c r="PQ50" s="159"/>
      <c r="PR50" s="159"/>
      <c r="PS50" s="159"/>
      <c r="PT50" s="159"/>
      <c r="PU50" s="159"/>
      <c r="PV50" s="159"/>
      <c r="PW50" s="159"/>
      <c r="PX50" s="159"/>
      <c r="PY50" s="159"/>
      <c r="PZ50" s="159"/>
      <c r="QA50" s="159"/>
      <c r="QB50" s="159"/>
      <c r="QC50" s="159"/>
      <c r="QD50" s="159"/>
      <c r="QE50" s="159"/>
      <c r="QF50" s="159"/>
      <c r="QG50" s="159"/>
      <c r="QH50" s="159"/>
      <c r="QI50" s="159"/>
      <c r="QJ50" s="159"/>
      <c r="QK50" s="159"/>
      <c r="QL50" s="159"/>
      <c r="QM50" s="159"/>
      <c r="QN50" s="159"/>
      <c r="QO50" s="159"/>
      <c r="QP50" s="159"/>
      <c r="QQ50" s="159"/>
      <c r="QR50" s="159"/>
      <c r="QS50" s="159"/>
      <c r="QT50" s="159"/>
      <c r="QU50" s="159"/>
      <c r="QV50" s="159"/>
      <c r="QW50" s="159"/>
      <c r="QX50" s="159"/>
      <c r="QY50" s="159"/>
      <c r="QZ50" s="159"/>
      <c r="RA50" s="159"/>
      <c r="RB50" s="159"/>
      <c r="RC50" s="159"/>
      <c r="RD50" s="159"/>
      <c r="RE50" s="159"/>
      <c r="RF50" s="159"/>
      <c r="RG50" s="159"/>
      <c r="RH50" s="159"/>
      <c r="RI50" s="159"/>
      <c r="RJ50" s="159"/>
      <c r="RK50" s="159"/>
      <c r="RL50" s="159"/>
      <c r="RM50" s="159"/>
      <c r="RN50" s="159"/>
      <c r="RO50" s="159"/>
      <c r="RP50" s="159"/>
      <c r="RQ50" s="159"/>
      <c r="RR50" s="159"/>
      <c r="RS50" s="159"/>
      <c r="RT50" s="159"/>
      <c r="RU50" s="159"/>
      <c r="RV50" s="159"/>
      <c r="RW50" s="159"/>
      <c r="RX50" s="159"/>
      <c r="RY50" s="159"/>
      <c r="RZ50" s="159"/>
      <c r="SA50" s="159"/>
      <c r="SB50" s="159"/>
      <c r="SC50" s="159"/>
      <c r="SD50" s="159"/>
      <c r="SE50" s="159"/>
      <c r="SF50" s="159"/>
      <c r="SG50" s="159"/>
      <c r="SH50" s="159"/>
      <c r="SI50" s="159"/>
      <c r="SJ50" s="159"/>
      <c r="SK50" s="159"/>
      <c r="SL50" s="159"/>
      <c r="SM50" s="159"/>
      <c r="SN50" s="159"/>
      <c r="SO50" s="159"/>
      <c r="SP50" s="159"/>
      <c r="SQ50" s="159"/>
      <c r="SR50" s="159"/>
      <c r="SS50" s="159"/>
      <c r="ST50" s="159"/>
      <c r="SU50" s="159"/>
      <c r="SV50" s="159"/>
      <c r="SW50" s="159"/>
      <c r="SX50" s="159"/>
      <c r="SY50" s="159"/>
      <c r="SZ50" s="159"/>
      <c r="TA50" s="159"/>
      <c r="TB50" s="159"/>
      <c r="TC50" s="159"/>
      <c r="TD50" s="159"/>
      <c r="TE50" s="159"/>
      <c r="TF50" s="159"/>
      <c r="TG50" s="159"/>
      <c r="TH50" s="159"/>
      <c r="TI50" s="159"/>
      <c r="TJ50" s="159"/>
      <c r="TK50" s="159"/>
      <c r="TL50" s="159"/>
      <c r="TM50" s="159"/>
      <c r="TN50" s="159"/>
      <c r="TO50" s="159"/>
      <c r="TP50" s="159"/>
      <c r="TQ50" s="159"/>
      <c r="TR50" s="159"/>
      <c r="TS50" s="159"/>
      <c r="TT50" s="159"/>
      <c r="TU50" s="159"/>
      <c r="TV50" s="159"/>
      <c r="TW50" s="159"/>
      <c r="TX50" s="159"/>
      <c r="TY50" s="159"/>
      <c r="TZ50" s="159"/>
      <c r="UA50" s="159"/>
      <c r="UB50" s="159"/>
      <c r="UC50" s="159"/>
      <c r="UD50" s="159"/>
      <c r="UE50" s="159"/>
      <c r="UF50" s="159"/>
      <c r="UG50" s="159"/>
      <c r="UH50" s="159"/>
      <c r="UI50" s="159"/>
      <c r="UJ50" s="159"/>
      <c r="UK50" s="159"/>
      <c r="UL50" s="159"/>
      <c r="UM50" s="159"/>
      <c r="UN50" s="159"/>
      <c r="UO50" s="159"/>
      <c r="UP50" s="159"/>
      <c r="UQ50" s="159"/>
      <c r="UR50" s="159"/>
      <c r="US50" s="159"/>
      <c r="UT50" s="159"/>
      <c r="UU50" s="159"/>
      <c r="UV50" s="159"/>
      <c r="UW50" s="159"/>
      <c r="UX50" s="159"/>
      <c r="UY50" s="159"/>
      <c r="UZ50" s="159"/>
      <c r="VA50" s="159"/>
      <c r="VB50" s="159"/>
      <c r="VC50" s="159"/>
      <c r="VD50" s="159"/>
      <c r="VE50" s="159"/>
      <c r="VF50" s="159"/>
      <c r="VG50" s="159"/>
      <c r="VH50" s="159"/>
      <c r="VI50" s="159"/>
      <c r="VJ50" s="159"/>
      <c r="VK50" s="159"/>
      <c r="VL50" s="159"/>
      <c r="VM50" s="159"/>
      <c r="VN50" s="159"/>
      <c r="VO50" s="159"/>
      <c r="VP50" s="159"/>
      <c r="VQ50" s="159"/>
      <c r="VR50" s="159"/>
      <c r="VS50" s="159"/>
      <c r="VT50" s="159"/>
      <c r="VU50" s="159"/>
      <c r="VV50" s="159"/>
      <c r="VW50" s="159"/>
      <c r="VX50" s="159"/>
      <c r="VY50" s="159"/>
      <c r="VZ50" s="159"/>
      <c r="WA50" s="159"/>
      <c r="WB50" s="159"/>
      <c r="WC50" s="159"/>
      <c r="WD50" s="159"/>
      <c r="WE50" s="159"/>
      <c r="WF50" s="159"/>
      <c r="WG50" s="159"/>
      <c r="WH50" s="159"/>
      <c r="WI50" s="159"/>
      <c r="WJ50" s="159"/>
      <c r="WK50" s="159"/>
      <c r="WL50" s="159"/>
      <c r="WM50" s="159"/>
      <c r="WN50" s="159"/>
      <c r="WO50" s="159"/>
      <c r="WP50" s="159"/>
      <c r="WQ50" s="159"/>
      <c r="WR50" s="159"/>
      <c r="WS50" s="159"/>
      <c r="WT50" s="159"/>
      <c r="WU50" s="159"/>
      <c r="WV50" s="159"/>
      <c r="WW50" s="159"/>
      <c r="WX50" s="159"/>
      <c r="WY50" s="159"/>
      <c r="WZ50" s="159"/>
      <c r="XA50" s="159"/>
      <c r="XB50" s="159"/>
      <c r="XC50" s="159"/>
      <c r="XD50" s="159"/>
      <c r="XE50" s="159"/>
      <c r="XF50" s="159"/>
      <c r="XG50" s="159"/>
      <c r="XH50" s="159"/>
      <c r="XI50" s="159"/>
      <c r="XJ50" s="159"/>
      <c r="XK50" s="159"/>
      <c r="XL50" s="159"/>
      <c r="XM50" s="159"/>
      <c r="XN50" s="159"/>
      <c r="XO50" s="159"/>
      <c r="XP50" s="159"/>
      <c r="XQ50" s="159"/>
      <c r="XR50" s="159"/>
      <c r="XS50" s="159"/>
      <c r="XT50" s="159"/>
      <c r="XU50" s="159"/>
      <c r="XV50" s="159"/>
      <c r="XW50" s="159"/>
      <c r="XX50" s="159"/>
      <c r="XY50" s="159"/>
      <c r="XZ50" s="159"/>
      <c r="YA50" s="159"/>
      <c r="YB50" s="159"/>
      <c r="YC50" s="159"/>
      <c r="YD50" s="159"/>
      <c r="YE50" s="159"/>
      <c r="YF50" s="159"/>
      <c r="YG50" s="159"/>
      <c r="YH50" s="159"/>
      <c r="YI50" s="159"/>
      <c r="YJ50" s="159"/>
      <c r="YK50" s="159"/>
      <c r="YL50" s="159"/>
      <c r="YM50" s="159"/>
      <c r="YN50" s="159"/>
      <c r="YO50" s="159"/>
      <c r="YP50" s="159"/>
      <c r="YQ50" s="159"/>
      <c r="YR50" s="159"/>
      <c r="YS50" s="159"/>
      <c r="YT50" s="159"/>
      <c r="YU50" s="159"/>
      <c r="YV50" s="159"/>
      <c r="YW50" s="159"/>
      <c r="YX50" s="159"/>
      <c r="YY50" s="159"/>
      <c r="YZ50" s="159"/>
      <c r="ZA50" s="159"/>
      <c r="ZB50" s="159"/>
      <c r="ZC50" s="159"/>
      <c r="ZD50" s="159"/>
      <c r="ZE50" s="159"/>
      <c r="ZF50" s="159"/>
      <c r="ZG50" s="159"/>
      <c r="ZH50" s="159"/>
      <c r="ZI50" s="159"/>
      <c r="ZJ50" s="159"/>
      <c r="ZK50" s="159"/>
      <c r="ZL50" s="159"/>
      <c r="ZM50" s="159"/>
      <c r="ZN50" s="159"/>
      <c r="ZO50" s="159"/>
      <c r="ZP50" s="159"/>
      <c r="ZQ50" s="159"/>
      <c r="ZR50" s="159"/>
      <c r="ZS50" s="159"/>
      <c r="ZT50" s="159"/>
      <c r="ZU50" s="159"/>
      <c r="ZV50" s="159"/>
      <c r="ZW50" s="159"/>
      <c r="ZX50" s="159"/>
      <c r="ZY50" s="159"/>
      <c r="ZZ50" s="159"/>
      <c r="AAA50" s="159"/>
      <c r="AAB50" s="159"/>
      <c r="AAC50" s="159"/>
      <c r="AAD50" s="159"/>
      <c r="AAE50" s="159"/>
      <c r="AAF50" s="159"/>
      <c r="AAG50" s="159"/>
      <c r="AAH50" s="159"/>
      <c r="AAI50" s="159"/>
      <c r="AAJ50" s="159"/>
      <c r="AAK50" s="159"/>
      <c r="AAL50" s="159"/>
      <c r="AAM50" s="159"/>
      <c r="AAN50" s="159"/>
      <c r="AAO50" s="159"/>
      <c r="AAP50" s="159"/>
      <c r="AAQ50" s="159"/>
      <c r="AAR50" s="159"/>
      <c r="AAS50" s="159"/>
      <c r="AAT50" s="159"/>
      <c r="AAU50" s="159"/>
      <c r="AAV50" s="159"/>
      <c r="AAW50" s="159"/>
      <c r="AAX50" s="159"/>
      <c r="AAY50" s="159"/>
      <c r="AAZ50" s="159"/>
      <c r="ABA50" s="159"/>
      <c r="ABB50" s="159"/>
      <c r="ABC50" s="159"/>
      <c r="ABD50" s="159"/>
      <c r="ABE50" s="159"/>
      <c r="ABF50" s="159"/>
      <c r="ABG50" s="159"/>
      <c r="ABH50" s="159"/>
      <c r="ABI50" s="159"/>
      <c r="ABJ50" s="159"/>
      <c r="ABK50" s="159"/>
      <c r="ABL50" s="159"/>
      <c r="ABM50" s="159"/>
      <c r="ABN50" s="159"/>
      <c r="ABO50" s="159"/>
      <c r="ABP50" s="159"/>
      <c r="ABQ50" s="159"/>
      <c r="ABR50" s="159"/>
      <c r="ABS50" s="159"/>
      <c r="ABT50" s="159"/>
      <c r="ABU50" s="159"/>
      <c r="ABV50" s="159"/>
      <c r="ABW50" s="159"/>
      <c r="ABX50" s="159"/>
      <c r="ABY50" s="159"/>
      <c r="ABZ50" s="159"/>
      <c r="ACA50" s="159"/>
      <c r="ACB50" s="159"/>
      <c r="ACC50" s="159"/>
      <c r="ACD50" s="159"/>
      <c r="ACE50" s="159"/>
      <c r="ACF50" s="159"/>
      <c r="ACG50" s="159"/>
      <c r="ACH50" s="159"/>
      <c r="ACI50" s="159"/>
      <c r="ACJ50" s="159"/>
      <c r="ACK50" s="159"/>
      <c r="ACL50" s="159"/>
      <c r="ACM50" s="159"/>
      <c r="ACN50" s="159"/>
      <c r="ACO50" s="159"/>
      <c r="ACP50" s="159"/>
      <c r="ACQ50" s="159"/>
      <c r="ACR50" s="159"/>
      <c r="ACS50" s="159"/>
      <c r="ACT50" s="159"/>
      <c r="ACU50" s="159"/>
      <c r="ACV50" s="159"/>
      <c r="ACW50" s="159"/>
      <c r="ACX50" s="159"/>
      <c r="ACY50" s="159"/>
      <c r="ACZ50" s="159"/>
      <c r="ADA50" s="159"/>
      <c r="ADB50" s="159"/>
      <c r="ADC50" s="159"/>
      <c r="ADD50" s="159"/>
      <c r="ADE50" s="159"/>
      <c r="ADF50" s="159"/>
      <c r="ADG50" s="159"/>
      <c r="ADH50" s="159"/>
      <c r="ADI50" s="159"/>
      <c r="ADJ50" s="159"/>
      <c r="ADK50" s="159"/>
      <c r="ADL50" s="159"/>
      <c r="ADM50" s="159"/>
      <c r="ADN50" s="159"/>
      <c r="ADO50" s="159"/>
      <c r="ADP50" s="159"/>
      <c r="ADQ50" s="159"/>
      <c r="ADR50" s="159"/>
      <c r="ADS50" s="159"/>
      <c r="ADT50" s="159"/>
      <c r="ADU50" s="159"/>
      <c r="ADV50" s="159"/>
      <c r="ADW50" s="159"/>
      <c r="ADX50" s="159"/>
      <c r="ADY50" s="159"/>
      <c r="ADZ50" s="159"/>
      <c r="AEA50" s="159"/>
      <c r="AEB50" s="159"/>
      <c r="AEC50" s="159"/>
      <c r="AED50" s="159"/>
      <c r="AEE50" s="159"/>
      <c r="AEF50" s="159"/>
      <c r="AEG50" s="159"/>
      <c r="AEH50" s="159"/>
      <c r="AEI50" s="159"/>
      <c r="AEJ50" s="159"/>
      <c r="AEK50" s="159"/>
      <c r="AEL50" s="159"/>
      <c r="AEM50" s="159"/>
      <c r="AEN50" s="159"/>
      <c r="AEO50" s="159"/>
      <c r="AEP50" s="159"/>
      <c r="AEQ50" s="159"/>
      <c r="AER50" s="159"/>
      <c r="AES50" s="159"/>
      <c r="AET50" s="159"/>
      <c r="AEU50" s="159"/>
      <c r="AEV50" s="159"/>
      <c r="AEW50" s="159"/>
      <c r="AEX50" s="159"/>
      <c r="AEY50" s="159"/>
      <c r="AEZ50" s="159"/>
      <c r="AFA50" s="159"/>
      <c r="AFB50" s="159"/>
      <c r="AFC50" s="159"/>
      <c r="AFD50" s="159"/>
      <c r="AFE50" s="159"/>
      <c r="AFF50" s="159"/>
      <c r="AFG50" s="159"/>
      <c r="AFH50" s="159"/>
      <c r="AFI50" s="159"/>
      <c r="AFJ50" s="159"/>
      <c r="AFK50" s="159"/>
      <c r="AFL50" s="159"/>
      <c r="AFM50" s="159"/>
      <c r="AFN50" s="159"/>
      <c r="AFO50" s="159"/>
      <c r="AFP50" s="159"/>
      <c r="AFQ50" s="159"/>
      <c r="AFR50" s="159"/>
      <c r="AFS50" s="159"/>
      <c r="AFT50" s="159"/>
      <c r="AFU50" s="159"/>
      <c r="AFV50" s="159"/>
      <c r="AFW50" s="159"/>
      <c r="AFX50" s="159"/>
      <c r="AFY50" s="159"/>
      <c r="AFZ50" s="159"/>
      <c r="AGA50" s="159"/>
      <c r="AGB50" s="159"/>
      <c r="AGC50" s="159"/>
      <c r="AGD50" s="159"/>
      <c r="AGE50" s="159"/>
      <c r="AGF50" s="159"/>
      <c r="AGG50" s="159"/>
      <c r="AGH50" s="159"/>
      <c r="AGI50" s="159"/>
      <c r="AGJ50" s="159"/>
      <c r="AGK50" s="159"/>
      <c r="AGL50" s="159"/>
      <c r="AGM50" s="159"/>
      <c r="AGN50" s="159"/>
      <c r="AGO50" s="159"/>
      <c r="AGP50" s="159"/>
      <c r="AGQ50" s="159"/>
      <c r="AGR50" s="159"/>
      <c r="AGS50" s="159"/>
      <c r="AGT50" s="159"/>
      <c r="AGU50" s="159"/>
      <c r="AGV50" s="159"/>
      <c r="AGW50" s="159"/>
      <c r="AGX50" s="159"/>
      <c r="AGY50" s="159"/>
      <c r="AGZ50" s="159"/>
      <c r="AHA50" s="159"/>
      <c r="AHB50" s="159"/>
      <c r="AHC50" s="159"/>
      <c r="AHD50" s="159"/>
      <c r="AHE50" s="159"/>
      <c r="AHF50" s="159"/>
      <c r="AHG50" s="159"/>
      <c r="AHH50" s="159"/>
      <c r="AHI50" s="159"/>
      <c r="AHJ50" s="159"/>
      <c r="AHK50" s="159"/>
      <c r="AHL50" s="159"/>
      <c r="AHM50" s="159"/>
      <c r="AHN50" s="159"/>
      <c r="AHO50" s="159"/>
      <c r="AHP50" s="159"/>
      <c r="AHQ50" s="159"/>
      <c r="AHR50" s="159"/>
      <c r="AHS50" s="159"/>
      <c r="AHT50" s="159"/>
      <c r="AHU50" s="159"/>
      <c r="AHV50" s="159"/>
      <c r="AHW50" s="159"/>
      <c r="AHX50" s="159"/>
      <c r="AHY50" s="159"/>
      <c r="AHZ50" s="159"/>
      <c r="AIA50" s="159"/>
      <c r="AIB50" s="159"/>
      <c r="AIC50" s="159"/>
      <c r="AID50" s="159"/>
      <c r="AIE50" s="159"/>
      <c r="AIF50" s="159"/>
      <c r="AIG50" s="159"/>
      <c r="AIH50" s="159"/>
      <c r="AII50" s="159"/>
      <c r="AIJ50" s="159"/>
      <c r="AIK50" s="159"/>
      <c r="AIL50" s="159"/>
      <c r="AIM50" s="159"/>
      <c r="AIN50" s="159"/>
      <c r="AIO50" s="159"/>
      <c r="AIP50" s="159"/>
      <c r="AIQ50" s="159"/>
      <c r="AIR50" s="159"/>
      <c r="AIS50" s="159"/>
      <c r="AIT50" s="159"/>
      <c r="AIU50" s="159"/>
      <c r="AIV50" s="159"/>
      <c r="AIW50" s="159"/>
      <c r="AIX50" s="159"/>
      <c r="AIY50" s="159"/>
      <c r="AIZ50" s="159"/>
      <c r="AJA50" s="159"/>
      <c r="AJB50" s="159"/>
      <c r="AJC50" s="159"/>
      <c r="AJD50" s="159"/>
      <c r="AJE50" s="159"/>
      <c r="AJF50" s="159"/>
      <c r="AJG50" s="159"/>
      <c r="AJH50" s="159"/>
      <c r="AJI50" s="159"/>
      <c r="AJJ50" s="159"/>
      <c r="AJK50" s="159"/>
      <c r="AJL50" s="159"/>
      <c r="AJM50" s="159"/>
      <c r="AJN50" s="159"/>
      <c r="AJO50" s="159"/>
      <c r="AJP50" s="159"/>
      <c r="AJQ50" s="159"/>
      <c r="AJR50" s="159"/>
      <c r="AJS50" s="159"/>
      <c r="AJT50" s="159"/>
      <c r="AJU50" s="159"/>
      <c r="AJV50" s="159"/>
      <c r="AJW50" s="159"/>
      <c r="AJX50" s="159"/>
      <c r="AJY50" s="159"/>
      <c r="AJZ50" s="159"/>
      <c r="AKA50" s="159"/>
      <c r="AKB50" s="159"/>
      <c r="AKC50" s="159"/>
      <c r="AKD50" s="159"/>
      <c r="AKE50" s="159"/>
      <c r="AKF50" s="159"/>
      <c r="AKG50" s="159"/>
      <c r="AKH50" s="159"/>
      <c r="AKI50" s="159"/>
      <c r="AKJ50" s="159"/>
      <c r="AKK50" s="159"/>
      <c r="AKL50" s="159"/>
      <c r="AKM50" s="159"/>
      <c r="AKN50" s="159"/>
      <c r="AKO50" s="159"/>
      <c r="AKP50" s="159"/>
      <c r="AKQ50" s="159"/>
      <c r="AKR50" s="159"/>
      <c r="AKS50" s="159"/>
      <c r="AKT50" s="159"/>
      <c r="AKU50" s="159"/>
      <c r="AKV50" s="159"/>
      <c r="AKW50" s="159"/>
      <c r="AKX50" s="159"/>
      <c r="AKY50" s="159"/>
      <c r="AKZ50" s="159"/>
      <c r="ALA50" s="159"/>
      <c r="ALB50" s="159"/>
      <c r="ALC50" s="159"/>
      <c r="ALD50" s="159"/>
      <c r="ALE50" s="159"/>
      <c r="ALF50" s="159"/>
      <c r="ALG50" s="159"/>
      <c r="ALH50" s="159"/>
      <c r="ALI50" s="159"/>
      <c r="ALJ50" s="159"/>
      <c r="ALK50" s="159"/>
      <c r="ALL50" s="159"/>
      <c r="ALM50" s="159"/>
      <c r="ALN50" s="159"/>
      <c r="ALO50" s="159"/>
      <c r="ALP50" s="159"/>
      <c r="ALQ50" s="159"/>
      <c r="ALR50" s="159"/>
      <c r="ALS50" s="159"/>
      <c r="ALT50" s="159"/>
      <c r="ALU50" s="159"/>
      <c r="ALV50" s="159"/>
      <c r="ALW50" s="159"/>
      <c r="ALX50" s="159"/>
      <c r="ALY50" s="159"/>
      <c r="ALZ50" s="159"/>
      <c r="AMA50" s="159"/>
      <c r="AMB50" s="159"/>
      <c r="AMC50" s="159"/>
      <c r="AMD50" s="159"/>
      <c r="AME50" s="159"/>
      <c r="AMF50" s="159"/>
      <c r="AMG50" s="159"/>
      <c r="AMH50" s="159"/>
      <c r="AMI50" s="159"/>
      <c r="AMJ50" s="159"/>
      <c r="AMK50" s="159"/>
      <c r="AML50" s="159"/>
      <c r="AMM50" s="159"/>
      <c r="AMN50" s="159"/>
      <c r="AMO50" s="159"/>
      <c r="AMP50" s="159"/>
      <c r="AMQ50" s="159"/>
      <c r="AMR50" s="159"/>
      <c r="AMS50" s="159"/>
      <c r="AMT50" s="159"/>
      <c r="AMU50" s="159"/>
      <c r="AMV50" s="159"/>
      <c r="AMW50" s="159"/>
      <c r="AMX50" s="159"/>
      <c r="AMY50" s="159"/>
      <c r="AMZ50" s="159"/>
      <c r="ANA50" s="159"/>
      <c r="ANB50" s="159"/>
      <c r="ANC50" s="159"/>
      <c r="AND50" s="159"/>
      <c r="ANE50" s="159"/>
      <c r="ANF50" s="159"/>
      <c r="ANG50" s="159"/>
      <c r="ANH50" s="159"/>
      <c r="ANI50" s="159"/>
      <c r="ANJ50" s="159"/>
      <c r="ANK50" s="159"/>
      <c r="ANL50" s="159"/>
      <c r="ANM50" s="159"/>
      <c r="ANN50" s="159"/>
      <c r="ANO50" s="159"/>
      <c r="ANP50" s="159"/>
      <c r="ANQ50" s="159"/>
      <c r="ANR50" s="159"/>
      <c r="ANS50" s="159"/>
      <c r="ANT50" s="159"/>
      <c r="ANU50" s="159"/>
      <c r="ANV50" s="159"/>
      <c r="ANW50" s="159"/>
      <c r="ANX50" s="159"/>
      <c r="ANY50" s="159"/>
      <c r="ANZ50" s="159"/>
      <c r="AOA50" s="159"/>
      <c r="AOB50" s="159"/>
      <c r="AOC50" s="159"/>
      <c r="AOD50" s="159"/>
      <c r="AOE50" s="159"/>
      <c r="AOF50" s="159"/>
      <c r="AOG50" s="159"/>
      <c r="AOH50" s="159"/>
      <c r="AOI50" s="159"/>
      <c r="AOJ50" s="159"/>
      <c r="AOK50" s="159"/>
      <c r="AOL50" s="159"/>
      <c r="AOM50" s="159"/>
      <c r="AON50" s="159"/>
      <c r="AOO50" s="159"/>
      <c r="AOP50" s="159"/>
      <c r="AOQ50" s="159"/>
      <c r="AOR50" s="159"/>
      <c r="AOS50" s="159"/>
      <c r="AOT50" s="159"/>
      <c r="AOU50" s="159"/>
      <c r="AOV50" s="159"/>
      <c r="AOW50" s="159"/>
      <c r="AOX50" s="159"/>
      <c r="AOY50" s="159"/>
      <c r="AOZ50" s="159"/>
      <c r="APA50" s="159"/>
      <c r="APB50" s="159"/>
      <c r="APC50" s="159"/>
      <c r="APD50" s="159"/>
      <c r="APE50" s="159"/>
      <c r="APF50" s="159"/>
      <c r="APG50" s="159"/>
      <c r="APH50" s="159"/>
      <c r="API50" s="159"/>
      <c r="APJ50" s="159"/>
      <c r="APK50" s="159"/>
      <c r="APL50" s="159"/>
      <c r="APM50" s="159"/>
      <c r="APN50" s="159"/>
      <c r="APO50" s="159"/>
      <c r="APP50" s="159"/>
      <c r="APQ50" s="159"/>
      <c r="APR50" s="159"/>
      <c r="APS50" s="159"/>
      <c r="APT50" s="159"/>
      <c r="APU50" s="159"/>
      <c r="APV50" s="159"/>
      <c r="APW50" s="159"/>
      <c r="APX50" s="159"/>
      <c r="APY50" s="159"/>
      <c r="APZ50" s="159"/>
      <c r="AQA50" s="159"/>
      <c r="AQB50" s="159"/>
      <c r="AQC50" s="159"/>
      <c r="AQD50" s="159"/>
      <c r="AQE50" s="159"/>
      <c r="AQF50" s="159"/>
      <c r="AQG50" s="159"/>
      <c r="AQH50" s="159"/>
      <c r="AQI50" s="159"/>
      <c r="AQJ50" s="159"/>
      <c r="AQK50" s="159"/>
      <c r="AQL50" s="159"/>
      <c r="AQM50" s="159"/>
      <c r="AQN50" s="159"/>
      <c r="AQO50" s="159"/>
      <c r="AQP50" s="159"/>
      <c r="AQQ50" s="159"/>
      <c r="AQR50" s="159"/>
      <c r="AQS50" s="159"/>
      <c r="AQT50" s="159"/>
      <c r="AQU50" s="159"/>
      <c r="AQV50" s="159"/>
      <c r="AQW50" s="159"/>
      <c r="AQX50" s="159"/>
      <c r="AQY50" s="159"/>
      <c r="AQZ50" s="159"/>
      <c r="ARA50" s="159"/>
      <c r="ARB50" s="159"/>
      <c r="ARC50" s="159"/>
      <c r="ARD50" s="159"/>
      <c r="ARE50" s="159"/>
      <c r="ARF50" s="159"/>
      <c r="ARG50" s="159"/>
      <c r="ARH50" s="159"/>
      <c r="ARI50" s="159"/>
      <c r="ARJ50" s="159"/>
      <c r="ARK50" s="159"/>
      <c r="ARL50" s="159"/>
      <c r="ARM50" s="159"/>
      <c r="ARN50" s="159"/>
      <c r="ARO50" s="159"/>
      <c r="ARP50" s="159"/>
      <c r="ARQ50" s="159"/>
      <c r="ARR50" s="159"/>
      <c r="ARS50" s="159"/>
      <c r="ART50" s="159"/>
      <c r="ARU50" s="159"/>
      <c r="ARV50" s="159"/>
      <c r="ARW50" s="159"/>
      <c r="ARX50" s="159"/>
      <c r="ARY50" s="159"/>
      <c r="ARZ50" s="159"/>
      <c r="ASA50" s="159"/>
      <c r="ASB50" s="159"/>
      <c r="ASC50" s="159"/>
      <c r="ASD50" s="159"/>
      <c r="ASE50" s="159"/>
      <c r="ASF50" s="159"/>
      <c r="ASG50" s="159"/>
      <c r="ASH50" s="159"/>
      <c r="ASI50" s="159"/>
      <c r="ASJ50" s="159"/>
      <c r="ASK50" s="159"/>
      <c r="ASL50" s="159"/>
      <c r="ASM50" s="159"/>
      <c r="ASN50" s="159"/>
      <c r="ASO50" s="159"/>
      <c r="ASP50" s="159"/>
      <c r="ASQ50" s="159"/>
      <c r="ASR50" s="159"/>
      <c r="ASS50" s="159"/>
      <c r="AST50" s="159"/>
      <c r="ASU50" s="159"/>
      <c r="ASV50" s="159"/>
      <c r="ASW50" s="159"/>
      <c r="ASX50" s="159"/>
      <c r="ASY50" s="159"/>
      <c r="ASZ50" s="159"/>
      <c r="ATA50" s="159"/>
      <c r="ATB50" s="159"/>
      <c r="ATC50" s="159"/>
      <c r="ATD50" s="159"/>
      <c r="ATE50" s="159"/>
      <c r="ATF50" s="159"/>
      <c r="ATG50" s="159"/>
      <c r="ATH50" s="159"/>
      <c r="ATI50" s="159"/>
      <c r="ATJ50" s="159"/>
      <c r="ATK50" s="159"/>
      <c r="ATL50" s="159"/>
      <c r="ATM50" s="159"/>
      <c r="ATN50" s="159"/>
      <c r="ATO50" s="159"/>
      <c r="ATP50" s="159"/>
      <c r="ATQ50" s="159"/>
      <c r="ATR50" s="159"/>
      <c r="ATS50" s="159"/>
      <c r="ATT50" s="159"/>
      <c r="ATU50" s="159"/>
      <c r="ATV50" s="159"/>
      <c r="ATW50" s="159"/>
      <c r="ATX50" s="159"/>
      <c r="ATY50" s="159"/>
      <c r="ATZ50" s="159"/>
      <c r="AUA50" s="159"/>
      <c r="AUB50" s="159"/>
      <c r="AUC50" s="159"/>
      <c r="AUD50" s="159"/>
      <c r="AUE50" s="159"/>
      <c r="AUF50" s="159"/>
      <c r="AUG50" s="159"/>
      <c r="AUH50" s="159"/>
      <c r="AUI50" s="159"/>
      <c r="AUJ50" s="159"/>
      <c r="AUK50" s="159"/>
      <c r="AUL50" s="159"/>
      <c r="AUM50" s="159"/>
      <c r="AUN50" s="159"/>
      <c r="AUO50" s="159"/>
      <c r="AUP50" s="159"/>
      <c r="AUQ50" s="159"/>
      <c r="AUR50" s="159"/>
      <c r="AUS50" s="159"/>
      <c r="AUT50" s="159"/>
      <c r="AUU50" s="159"/>
      <c r="AUV50" s="159"/>
      <c r="AUW50" s="159"/>
      <c r="AUX50" s="159"/>
      <c r="AUY50" s="159"/>
      <c r="AUZ50" s="159"/>
      <c r="AVA50" s="159"/>
      <c r="AVB50" s="159"/>
      <c r="AVC50" s="159"/>
      <c r="AVD50" s="159"/>
      <c r="AVE50" s="159"/>
      <c r="AVF50" s="159"/>
      <c r="AVG50" s="159"/>
      <c r="AVH50" s="159"/>
      <c r="AVI50" s="159"/>
      <c r="AVJ50" s="159"/>
      <c r="AVK50" s="159"/>
      <c r="AVL50" s="159"/>
      <c r="AVM50" s="159"/>
      <c r="AVN50" s="159"/>
      <c r="AVO50" s="159"/>
      <c r="AVP50" s="159"/>
      <c r="AVQ50" s="159"/>
      <c r="AVR50" s="159"/>
      <c r="AVS50" s="159"/>
      <c r="AVT50" s="159"/>
      <c r="AVU50" s="159"/>
      <c r="AVV50" s="159"/>
      <c r="AVW50" s="159"/>
      <c r="AVX50" s="159"/>
      <c r="AVY50" s="159"/>
      <c r="AVZ50" s="159"/>
      <c r="AWA50" s="159"/>
      <c r="AWB50" s="159"/>
      <c r="AWC50" s="159"/>
      <c r="AWD50" s="159"/>
      <c r="AWE50" s="159"/>
      <c r="AWF50" s="159"/>
      <c r="AWG50" s="159"/>
      <c r="AWH50" s="159"/>
      <c r="AWI50" s="159"/>
      <c r="AWJ50" s="159"/>
      <c r="AWK50" s="159"/>
      <c r="AWL50" s="159"/>
      <c r="AWM50" s="159"/>
      <c r="AWN50" s="159"/>
      <c r="AWO50" s="159"/>
      <c r="AWP50" s="159"/>
      <c r="AWQ50" s="159"/>
      <c r="AWR50" s="159"/>
      <c r="AWS50" s="159"/>
      <c r="AWT50" s="159"/>
      <c r="AWU50" s="159"/>
      <c r="AWV50" s="159"/>
      <c r="AWW50" s="159"/>
      <c r="AWX50" s="159"/>
      <c r="AWY50" s="159"/>
      <c r="AWZ50" s="159"/>
      <c r="AXA50" s="159"/>
      <c r="AXB50" s="159"/>
      <c r="AXC50" s="159"/>
      <c r="AXD50" s="159"/>
      <c r="AXE50" s="159"/>
      <c r="AXF50" s="159"/>
      <c r="AXG50" s="159"/>
      <c r="AXH50" s="159"/>
      <c r="AXI50" s="159"/>
      <c r="AXJ50" s="159"/>
      <c r="AXK50" s="159"/>
      <c r="AXL50" s="159"/>
      <c r="AXM50" s="159"/>
      <c r="AXN50" s="159"/>
      <c r="AXO50" s="159"/>
      <c r="AXP50" s="159"/>
      <c r="AXQ50" s="159"/>
      <c r="AXR50" s="159"/>
      <c r="AXS50" s="159"/>
      <c r="AXT50" s="159"/>
      <c r="AXU50" s="159"/>
      <c r="AXV50" s="159"/>
      <c r="AXW50" s="159"/>
      <c r="AXX50" s="159"/>
      <c r="AXY50" s="159"/>
      <c r="AXZ50" s="159"/>
      <c r="AYA50" s="159"/>
      <c r="AYB50" s="159"/>
      <c r="AYC50" s="159"/>
      <c r="AYD50" s="159"/>
      <c r="AYE50" s="159"/>
      <c r="AYF50" s="159"/>
      <c r="AYG50" s="159"/>
      <c r="AYH50" s="159"/>
      <c r="AYI50" s="159"/>
      <c r="AYJ50" s="159"/>
      <c r="AYK50" s="159"/>
      <c r="AYL50" s="159"/>
      <c r="AYM50" s="159"/>
      <c r="AYN50" s="159"/>
      <c r="AYO50" s="159"/>
      <c r="AYP50" s="159"/>
      <c r="AYQ50" s="159"/>
      <c r="AYR50" s="159"/>
      <c r="AYS50" s="159"/>
      <c r="AYT50" s="159"/>
      <c r="AYU50" s="159"/>
      <c r="AYV50" s="159"/>
      <c r="AYW50" s="159"/>
      <c r="AYX50" s="159"/>
      <c r="AYY50" s="159"/>
      <c r="AYZ50" s="159"/>
      <c r="AZA50" s="159"/>
      <c r="AZB50" s="159"/>
      <c r="AZC50" s="159"/>
      <c r="AZD50" s="159"/>
      <c r="AZE50" s="159"/>
      <c r="AZF50" s="159"/>
      <c r="AZG50" s="159"/>
      <c r="AZH50" s="159"/>
      <c r="AZI50" s="159"/>
      <c r="AZJ50" s="159"/>
      <c r="AZK50" s="159"/>
      <c r="AZL50" s="159"/>
      <c r="AZM50" s="159"/>
      <c r="AZN50" s="159"/>
      <c r="AZO50" s="159"/>
      <c r="AZP50" s="159"/>
      <c r="AZQ50" s="159"/>
      <c r="AZR50" s="159"/>
      <c r="AZS50" s="159"/>
      <c r="AZT50" s="159"/>
      <c r="AZU50" s="159"/>
      <c r="AZV50" s="159"/>
      <c r="AZW50" s="159"/>
      <c r="AZX50" s="159"/>
      <c r="AZY50" s="159"/>
      <c r="AZZ50" s="159"/>
      <c r="BAA50" s="159"/>
      <c r="BAB50" s="159"/>
      <c r="BAC50" s="159"/>
      <c r="BAD50" s="159"/>
      <c r="BAE50" s="159"/>
      <c r="BAF50" s="159"/>
      <c r="BAG50" s="159"/>
      <c r="BAH50" s="159"/>
      <c r="BAI50" s="159"/>
      <c r="BAJ50" s="159"/>
      <c r="BAK50" s="159"/>
      <c r="BAL50" s="159"/>
      <c r="BAM50" s="159"/>
      <c r="BAN50" s="159"/>
      <c r="BAO50" s="159"/>
      <c r="BAP50" s="159"/>
      <c r="BAQ50" s="159"/>
      <c r="BAR50" s="159"/>
      <c r="BAS50" s="159"/>
      <c r="BAT50" s="159"/>
      <c r="BAU50" s="159"/>
      <c r="BAV50" s="159"/>
      <c r="BAW50" s="159"/>
      <c r="BAX50" s="159"/>
      <c r="BAY50" s="159"/>
      <c r="BAZ50" s="159"/>
      <c r="BBA50" s="159"/>
      <c r="BBB50" s="159"/>
      <c r="BBC50" s="159"/>
      <c r="BBD50" s="159"/>
      <c r="BBE50" s="159"/>
      <c r="BBF50" s="159"/>
      <c r="BBG50" s="159"/>
      <c r="BBH50" s="159"/>
      <c r="BBI50" s="159"/>
      <c r="BBJ50" s="159"/>
      <c r="BBK50" s="159"/>
      <c r="BBL50" s="159"/>
      <c r="BBM50" s="159"/>
      <c r="BBN50" s="159"/>
      <c r="BBO50" s="159"/>
      <c r="BBP50" s="159"/>
      <c r="BBQ50" s="159"/>
      <c r="BBR50" s="159"/>
      <c r="BBS50" s="159"/>
      <c r="BBT50" s="159"/>
      <c r="BBU50" s="159"/>
      <c r="BBV50" s="159"/>
      <c r="BBW50" s="159"/>
      <c r="BBX50" s="159"/>
      <c r="BBY50" s="159"/>
      <c r="BBZ50" s="159"/>
      <c r="BCA50" s="159"/>
      <c r="BCB50" s="159"/>
      <c r="BCC50" s="159"/>
      <c r="BCD50" s="159"/>
      <c r="BCE50" s="159"/>
      <c r="BCF50" s="159"/>
      <c r="BCG50" s="159"/>
      <c r="BCH50" s="159"/>
      <c r="BCI50" s="159"/>
      <c r="BCJ50" s="159"/>
      <c r="BCK50" s="159"/>
      <c r="BCL50" s="159"/>
      <c r="BCM50" s="159"/>
      <c r="BCN50" s="159"/>
      <c r="BCO50" s="159"/>
      <c r="BCP50" s="159"/>
      <c r="BCQ50" s="159"/>
      <c r="BCR50" s="159"/>
      <c r="BCS50" s="159"/>
      <c r="BCT50" s="159"/>
      <c r="BCU50" s="159"/>
      <c r="BCV50" s="159"/>
      <c r="BCW50" s="159"/>
      <c r="BCX50" s="159"/>
      <c r="BCY50" s="159"/>
      <c r="BCZ50" s="159"/>
      <c r="BDA50" s="159"/>
      <c r="BDB50" s="159"/>
      <c r="BDC50" s="159"/>
      <c r="BDD50" s="159"/>
      <c r="BDE50" s="159"/>
      <c r="BDF50" s="159"/>
      <c r="BDG50" s="159"/>
      <c r="BDH50" s="159"/>
      <c r="BDI50" s="159"/>
      <c r="BDJ50" s="159"/>
      <c r="BDK50" s="159"/>
      <c r="BDL50" s="159"/>
      <c r="BDM50" s="159"/>
      <c r="BDN50" s="159"/>
      <c r="BDO50" s="159"/>
      <c r="BDP50" s="159"/>
      <c r="BDQ50" s="159"/>
      <c r="BDR50" s="159"/>
      <c r="BDS50" s="159"/>
      <c r="BDT50" s="159"/>
      <c r="BDU50" s="159"/>
      <c r="BDV50" s="159"/>
      <c r="BDW50" s="159"/>
      <c r="BDX50" s="159"/>
      <c r="BDY50" s="159"/>
      <c r="BDZ50" s="159"/>
      <c r="BEA50" s="159"/>
      <c r="BEB50" s="159"/>
      <c r="BEC50" s="159"/>
      <c r="BED50" s="159"/>
      <c r="BEE50" s="159"/>
      <c r="BEF50" s="159"/>
      <c r="BEG50" s="159"/>
      <c r="BEH50" s="159"/>
      <c r="BEI50" s="159"/>
      <c r="BEJ50" s="159"/>
      <c r="BEK50" s="159"/>
      <c r="BEL50" s="159"/>
      <c r="BEM50" s="159"/>
      <c r="BEN50" s="159"/>
      <c r="BEO50" s="159"/>
      <c r="BEP50" s="159"/>
      <c r="BEQ50" s="159"/>
      <c r="BER50" s="159"/>
      <c r="BES50" s="159"/>
      <c r="BET50" s="159"/>
      <c r="BEU50" s="159"/>
      <c r="BEV50" s="159"/>
      <c r="BEW50" s="159"/>
      <c r="BEX50" s="159"/>
      <c r="BEY50" s="159"/>
      <c r="BEZ50" s="159"/>
      <c r="BFA50" s="159"/>
      <c r="BFB50" s="159"/>
      <c r="BFC50" s="159"/>
      <c r="BFD50" s="159"/>
      <c r="BFE50" s="159"/>
      <c r="BFF50" s="159"/>
      <c r="BFG50" s="159"/>
      <c r="BFH50" s="159"/>
      <c r="BFI50" s="159"/>
      <c r="BFJ50" s="159"/>
      <c r="BFK50" s="159"/>
      <c r="BFL50" s="159"/>
      <c r="BFM50" s="159"/>
      <c r="BFN50" s="159"/>
      <c r="BFO50" s="159"/>
      <c r="BFP50" s="159"/>
      <c r="BFQ50" s="159"/>
      <c r="BFR50" s="159"/>
      <c r="BFS50" s="159"/>
      <c r="BFT50" s="159"/>
      <c r="BFU50" s="159"/>
      <c r="BFV50" s="159"/>
      <c r="BFW50" s="159"/>
      <c r="BFX50" s="159"/>
      <c r="BFY50" s="159"/>
      <c r="BFZ50" s="159"/>
      <c r="BGA50" s="159"/>
      <c r="BGB50" s="159"/>
      <c r="BGC50" s="159"/>
      <c r="BGD50" s="159"/>
      <c r="BGE50" s="159"/>
      <c r="BGF50" s="159"/>
      <c r="BGG50" s="159"/>
      <c r="BGH50" s="159"/>
      <c r="BGI50" s="159"/>
      <c r="BGJ50" s="159"/>
      <c r="BGK50" s="159"/>
      <c r="BGL50" s="159"/>
      <c r="BGM50" s="159"/>
      <c r="BGN50" s="159"/>
      <c r="BGO50" s="159"/>
      <c r="BGP50" s="159"/>
      <c r="BGQ50" s="159"/>
      <c r="BGR50" s="159"/>
      <c r="BGS50" s="159"/>
      <c r="BGT50" s="159"/>
      <c r="BGU50" s="159"/>
      <c r="BGV50" s="159"/>
      <c r="BGW50" s="159"/>
      <c r="BGX50" s="159"/>
      <c r="BGY50" s="159"/>
      <c r="BGZ50" s="159"/>
      <c r="BHA50" s="159"/>
      <c r="BHB50" s="159"/>
      <c r="BHC50" s="159"/>
      <c r="BHD50" s="159"/>
      <c r="BHE50" s="159"/>
      <c r="BHF50" s="159"/>
      <c r="BHG50" s="159"/>
      <c r="BHH50" s="159"/>
      <c r="BHI50" s="159"/>
      <c r="BHJ50" s="159"/>
      <c r="BHK50" s="159"/>
      <c r="BHL50" s="159"/>
      <c r="BHM50" s="159"/>
      <c r="BHN50" s="159"/>
      <c r="BHO50" s="159"/>
      <c r="BHP50" s="159"/>
      <c r="BHQ50" s="159"/>
      <c r="BHR50" s="159"/>
      <c r="BHS50" s="159"/>
      <c r="BHT50" s="159"/>
      <c r="BHU50" s="159"/>
      <c r="BHV50" s="159"/>
      <c r="BHW50" s="159"/>
      <c r="BHX50" s="159"/>
      <c r="BHY50" s="159"/>
      <c r="BHZ50" s="159"/>
      <c r="BIA50" s="159"/>
      <c r="BIB50" s="159"/>
      <c r="BIC50" s="159"/>
      <c r="BID50" s="159"/>
      <c r="BIE50" s="159"/>
      <c r="BIF50" s="159"/>
      <c r="BIG50" s="159"/>
      <c r="BIH50" s="159"/>
      <c r="BII50" s="159"/>
      <c r="BIJ50" s="159"/>
      <c r="BIK50" s="159"/>
      <c r="BIL50" s="159"/>
      <c r="BIM50" s="159"/>
      <c r="BIN50" s="159"/>
      <c r="BIO50" s="159"/>
      <c r="BIP50" s="159"/>
      <c r="BIQ50" s="159"/>
      <c r="BIR50" s="159"/>
      <c r="BIS50" s="159"/>
      <c r="BIT50" s="159"/>
      <c r="BIU50" s="159"/>
      <c r="BIV50" s="159"/>
      <c r="BIW50" s="159"/>
      <c r="BIX50" s="159"/>
      <c r="BIY50" s="159"/>
      <c r="BIZ50" s="159"/>
      <c r="BJA50" s="159"/>
      <c r="BJB50" s="159"/>
      <c r="BJC50" s="159"/>
      <c r="BJD50" s="159"/>
      <c r="BJE50" s="159"/>
      <c r="BJF50" s="159"/>
      <c r="BJG50" s="159"/>
      <c r="BJH50" s="159"/>
      <c r="BJI50" s="159"/>
      <c r="BJJ50" s="159"/>
      <c r="BJK50" s="159"/>
      <c r="BJL50" s="159"/>
      <c r="BJM50" s="159"/>
      <c r="BJN50" s="159"/>
      <c r="BJO50" s="159"/>
      <c r="BJP50" s="159"/>
      <c r="BJQ50" s="159"/>
      <c r="BJR50" s="159"/>
      <c r="BJS50" s="159"/>
      <c r="BJT50" s="159"/>
      <c r="BJU50" s="159"/>
      <c r="BJV50" s="159"/>
      <c r="BJW50" s="159"/>
      <c r="BJX50" s="159"/>
      <c r="BJY50" s="159"/>
      <c r="BJZ50" s="159"/>
      <c r="BKA50" s="159"/>
      <c r="BKB50" s="159"/>
      <c r="BKC50" s="159"/>
      <c r="BKD50" s="159"/>
      <c r="BKE50" s="159"/>
      <c r="BKF50" s="159"/>
      <c r="BKG50" s="159"/>
      <c r="BKH50" s="159"/>
      <c r="BKI50" s="159"/>
      <c r="BKJ50" s="159"/>
      <c r="BKK50" s="159"/>
      <c r="BKL50" s="159"/>
      <c r="BKM50" s="159"/>
      <c r="BKN50" s="159"/>
      <c r="BKO50" s="159"/>
      <c r="BKP50" s="159"/>
      <c r="BKQ50" s="159"/>
      <c r="BKR50" s="159"/>
      <c r="BKS50" s="159"/>
      <c r="BKT50" s="159"/>
      <c r="BKU50" s="159"/>
      <c r="BKV50" s="159"/>
      <c r="BKW50" s="159"/>
      <c r="BKX50" s="159"/>
      <c r="BKY50" s="159"/>
      <c r="BKZ50" s="159"/>
      <c r="BLA50" s="159"/>
      <c r="BLB50" s="159"/>
      <c r="BLC50" s="159"/>
      <c r="BLD50" s="159"/>
      <c r="BLE50" s="159"/>
      <c r="BLF50" s="159"/>
      <c r="BLG50" s="159"/>
      <c r="BLH50" s="159"/>
      <c r="BLI50" s="159"/>
      <c r="BLJ50" s="159"/>
      <c r="BLK50" s="159"/>
      <c r="BLL50" s="159"/>
      <c r="BLM50" s="159"/>
      <c r="BLN50" s="159"/>
      <c r="BLO50" s="159"/>
      <c r="BLP50" s="159"/>
      <c r="BLQ50" s="159"/>
      <c r="BLR50" s="159"/>
      <c r="BLS50" s="159"/>
      <c r="BLT50" s="159"/>
      <c r="BLU50" s="159"/>
      <c r="BLV50" s="159"/>
      <c r="BLW50" s="159"/>
      <c r="BLX50" s="159"/>
      <c r="BLY50" s="159"/>
      <c r="BLZ50" s="159"/>
      <c r="BMA50" s="159"/>
      <c r="BMB50" s="159"/>
      <c r="BMC50" s="159"/>
      <c r="BMD50" s="159"/>
      <c r="BME50" s="159"/>
      <c r="BMF50" s="159"/>
      <c r="BMG50" s="159"/>
      <c r="BMH50" s="159"/>
      <c r="BMI50" s="159"/>
      <c r="BMJ50" s="159"/>
      <c r="BMK50" s="159"/>
      <c r="BML50" s="159"/>
      <c r="BMM50" s="159"/>
      <c r="BMN50" s="159"/>
      <c r="BMO50" s="159"/>
      <c r="BMP50" s="159"/>
      <c r="BMQ50" s="159"/>
      <c r="BMR50" s="159"/>
      <c r="BMS50" s="159"/>
      <c r="BMT50" s="159"/>
      <c r="BMU50" s="159"/>
      <c r="BMV50" s="159"/>
      <c r="BMW50" s="159"/>
      <c r="BMX50" s="159"/>
      <c r="BMY50" s="159"/>
      <c r="BMZ50" s="159"/>
      <c r="BNA50" s="159"/>
      <c r="BNB50" s="159"/>
      <c r="BNC50" s="159"/>
      <c r="BND50" s="159"/>
      <c r="BNE50" s="159"/>
      <c r="BNF50" s="159"/>
      <c r="BNG50" s="159"/>
      <c r="BNH50" s="159"/>
      <c r="BNI50" s="159"/>
      <c r="BNJ50" s="159"/>
      <c r="BNK50" s="159"/>
      <c r="BNL50" s="159"/>
      <c r="BNM50" s="159"/>
      <c r="BNN50" s="159"/>
      <c r="BNO50" s="159"/>
      <c r="BNP50" s="159"/>
      <c r="BNQ50" s="159"/>
      <c r="BNR50" s="159"/>
      <c r="BNS50" s="159"/>
      <c r="BNT50" s="159"/>
      <c r="BNU50" s="159"/>
      <c r="BNV50" s="159"/>
      <c r="BNW50" s="159"/>
      <c r="BNX50" s="159"/>
      <c r="BNY50" s="159"/>
      <c r="BNZ50" s="159"/>
      <c r="BOA50" s="159"/>
      <c r="BOB50" s="159"/>
      <c r="BOC50" s="159"/>
      <c r="BOD50" s="159"/>
      <c r="BOE50" s="159"/>
      <c r="BOF50" s="159"/>
      <c r="BOG50" s="159"/>
      <c r="BOH50" s="159"/>
      <c r="BOI50" s="159"/>
      <c r="BOJ50" s="159"/>
      <c r="BOK50" s="159"/>
      <c r="BOL50" s="159"/>
      <c r="BOM50" s="159"/>
      <c r="BON50" s="159"/>
      <c r="BOO50" s="159"/>
      <c r="BOP50" s="159"/>
      <c r="BOQ50" s="159"/>
      <c r="BOR50" s="159"/>
      <c r="BOS50" s="159"/>
      <c r="BOT50" s="159"/>
      <c r="BOU50" s="159"/>
      <c r="BOV50" s="159"/>
      <c r="BOW50" s="159"/>
      <c r="BOX50" s="159"/>
      <c r="BOY50" s="159"/>
      <c r="BOZ50" s="159"/>
      <c r="BPA50" s="159"/>
      <c r="BPB50" s="159"/>
      <c r="BPC50" s="159"/>
      <c r="BPD50" s="159"/>
      <c r="BPE50" s="159"/>
      <c r="BPF50" s="159"/>
      <c r="BPG50" s="159"/>
      <c r="BPH50" s="159"/>
      <c r="BPI50" s="159"/>
      <c r="BPJ50" s="159"/>
      <c r="BPK50" s="159"/>
      <c r="BPL50" s="159"/>
      <c r="BPM50" s="159"/>
      <c r="BPN50" s="159"/>
      <c r="BPO50" s="159"/>
      <c r="BPP50" s="159"/>
      <c r="BPQ50" s="159"/>
      <c r="BPR50" s="159"/>
      <c r="BPS50" s="159"/>
      <c r="BPT50" s="159"/>
      <c r="BPU50" s="159"/>
      <c r="BPV50" s="159"/>
      <c r="BPW50" s="159"/>
      <c r="BPX50" s="159"/>
      <c r="BPY50" s="159"/>
      <c r="BPZ50" s="159"/>
      <c r="BQA50" s="159"/>
      <c r="BQB50" s="159"/>
      <c r="BQC50" s="159"/>
      <c r="BQD50" s="159"/>
      <c r="BQE50" s="159"/>
      <c r="BQF50" s="159"/>
      <c r="BQG50" s="159"/>
      <c r="BQH50" s="159"/>
      <c r="BQI50" s="159"/>
      <c r="BQJ50" s="159"/>
      <c r="BQK50" s="159"/>
      <c r="BQL50" s="159"/>
      <c r="BQM50" s="159"/>
      <c r="BQN50" s="159"/>
      <c r="BQO50" s="159"/>
      <c r="BQP50" s="159"/>
      <c r="BQQ50" s="159"/>
      <c r="BQR50" s="159"/>
      <c r="BQS50" s="159"/>
      <c r="BQT50" s="159"/>
      <c r="BQU50" s="159"/>
      <c r="BQV50" s="159"/>
      <c r="BQW50" s="159"/>
      <c r="BQX50" s="159"/>
      <c r="BQY50" s="159"/>
      <c r="BQZ50" s="159"/>
      <c r="BRA50" s="159"/>
      <c r="BRB50" s="159"/>
      <c r="BRC50" s="159"/>
      <c r="BRD50" s="159"/>
      <c r="BRE50" s="159"/>
      <c r="BRF50" s="159"/>
      <c r="BRG50" s="159"/>
      <c r="BRH50" s="159"/>
      <c r="BRI50" s="159"/>
      <c r="BRJ50" s="159"/>
      <c r="BRK50" s="159"/>
      <c r="BRL50" s="159"/>
      <c r="BRM50" s="159"/>
      <c r="BRN50" s="159"/>
      <c r="BRO50" s="159"/>
      <c r="BRP50" s="159"/>
      <c r="BRQ50" s="159"/>
      <c r="BRR50" s="159"/>
      <c r="BRS50" s="159"/>
      <c r="BRT50" s="159"/>
      <c r="BRU50" s="159"/>
      <c r="BRV50" s="159"/>
      <c r="BRW50" s="159"/>
      <c r="BRX50" s="159"/>
      <c r="BRY50" s="159"/>
      <c r="BRZ50" s="159"/>
      <c r="BSA50" s="159"/>
      <c r="BSB50" s="159"/>
      <c r="BSC50" s="159"/>
      <c r="BSD50" s="159"/>
      <c r="BSE50" s="159"/>
      <c r="BSF50" s="159"/>
      <c r="BSG50" s="159"/>
      <c r="BSH50" s="159"/>
      <c r="BSI50" s="159"/>
      <c r="BSJ50" s="159"/>
      <c r="BSK50" s="159"/>
      <c r="BSL50" s="159"/>
      <c r="BSM50" s="159"/>
      <c r="BSN50" s="159"/>
      <c r="BSO50" s="159"/>
      <c r="BSP50" s="159"/>
      <c r="BSQ50" s="159"/>
      <c r="BSR50" s="159"/>
      <c r="BSS50" s="159"/>
      <c r="BST50" s="159"/>
      <c r="BSU50" s="159"/>
      <c r="BSV50" s="159"/>
      <c r="BSW50" s="159"/>
      <c r="BSX50" s="159"/>
      <c r="BSY50" s="159"/>
      <c r="BSZ50" s="159"/>
      <c r="BTA50" s="159"/>
      <c r="BTB50" s="159"/>
      <c r="BTC50" s="159"/>
      <c r="BTD50" s="159"/>
      <c r="BTE50" s="159"/>
      <c r="BTF50" s="159"/>
      <c r="BTG50" s="159"/>
      <c r="BTH50" s="159"/>
      <c r="BTI50" s="159"/>
      <c r="BTJ50" s="159"/>
      <c r="BTK50" s="159"/>
      <c r="BTL50" s="159"/>
      <c r="BTM50" s="159"/>
      <c r="BTN50" s="159"/>
      <c r="BTO50" s="159"/>
      <c r="BTP50" s="159"/>
      <c r="BTQ50" s="159"/>
      <c r="BTR50" s="159"/>
      <c r="BTS50" s="159"/>
      <c r="BTT50" s="159"/>
      <c r="BTU50" s="159"/>
      <c r="BTV50" s="159"/>
      <c r="BTW50" s="159"/>
      <c r="BTX50" s="159"/>
      <c r="BTY50" s="159"/>
      <c r="BTZ50" s="159"/>
      <c r="BUA50" s="159"/>
      <c r="BUB50" s="159"/>
      <c r="BUC50" s="159"/>
      <c r="BUD50" s="159"/>
      <c r="BUE50" s="159"/>
      <c r="BUF50" s="159"/>
      <c r="BUG50" s="159"/>
      <c r="BUH50" s="159"/>
      <c r="BUI50" s="159"/>
      <c r="BUJ50" s="159"/>
      <c r="BUK50" s="159"/>
      <c r="BUL50" s="159"/>
      <c r="BUM50" s="159"/>
      <c r="BUN50" s="159"/>
      <c r="BUO50" s="159"/>
      <c r="BUP50" s="159"/>
      <c r="BUQ50" s="159"/>
      <c r="BUR50" s="159"/>
      <c r="BUS50" s="159"/>
      <c r="BUT50" s="159"/>
      <c r="BUU50" s="159"/>
      <c r="BUV50" s="159"/>
      <c r="BUW50" s="159"/>
      <c r="BUX50" s="159"/>
      <c r="BUY50" s="159"/>
      <c r="BUZ50" s="159"/>
      <c r="BVA50" s="159"/>
      <c r="BVB50" s="159"/>
      <c r="BVC50" s="159"/>
      <c r="BVD50" s="159"/>
      <c r="BVE50" s="159"/>
      <c r="BVF50" s="159"/>
      <c r="BVG50" s="159"/>
      <c r="BVH50" s="159"/>
      <c r="BVI50" s="159"/>
      <c r="BVJ50" s="159"/>
      <c r="BVK50" s="159"/>
      <c r="BVL50" s="159"/>
      <c r="BVM50" s="159"/>
      <c r="BVN50" s="159"/>
      <c r="BVO50" s="159"/>
      <c r="BVP50" s="159"/>
      <c r="BVQ50" s="159"/>
      <c r="BVR50" s="159"/>
      <c r="BVS50" s="159"/>
      <c r="BVT50" s="159"/>
      <c r="BVU50" s="159"/>
      <c r="BVV50" s="159"/>
      <c r="BVW50" s="159"/>
      <c r="BVX50" s="159"/>
      <c r="BVY50" s="159"/>
      <c r="BVZ50" s="159"/>
      <c r="BWA50" s="159"/>
      <c r="BWB50" s="159"/>
      <c r="BWC50" s="159"/>
      <c r="BWD50" s="159"/>
      <c r="BWE50" s="159"/>
      <c r="BWF50" s="159"/>
      <c r="BWG50" s="159"/>
      <c r="BWH50" s="159"/>
      <c r="BWI50" s="159"/>
      <c r="BWJ50" s="159"/>
      <c r="BWK50" s="159"/>
      <c r="BWL50" s="159"/>
      <c r="BWM50" s="159"/>
      <c r="BWN50" s="159"/>
      <c r="BWO50" s="159"/>
      <c r="BWP50" s="159"/>
      <c r="BWQ50" s="159"/>
      <c r="BWR50" s="159"/>
      <c r="BWS50" s="159"/>
      <c r="BWT50" s="159"/>
      <c r="BWU50" s="159"/>
      <c r="BWV50" s="159"/>
      <c r="BWW50" s="159"/>
      <c r="BWX50" s="159"/>
      <c r="BWY50" s="159"/>
      <c r="BWZ50" s="159"/>
      <c r="BXA50" s="159"/>
      <c r="BXB50" s="159"/>
      <c r="BXC50" s="159"/>
      <c r="BXD50" s="159"/>
      <c r="BXE50" s="159"/>
      <c r="BXF50" s="159"/>
      <c r="BXG50" s="159"/>
      <c r="BXH50" s="159"/>
      <c r="BXI50" s="159"/>
      <c r="BXJ50" s="159"/>
      <c r="BXK50" s="159"/>
      <c r="BXL50" s="159"/>
      <c r="BXM50" s="159"/>
      <c r="BXN50" s="159"/>
      <c r="BXO50" s="159"/>
      <c r="BXP50" s="159"/>
      <c r="BXQ50" s="159"/>
      <c r="BXR50" s="159"/>
      <c r="BXS50" s="159"/>
      <c r="BXT50" s="159"/>
      <c r="BXU50" s="159"/>
      <c r="BXV50" s="159"/>
      <c r="BXW50" s="159"/>
      <c r="BXX50" s="159"/>
      <c r="BXY50" s="159"/>
      <c r="BXZ50" s="159"/>
      <c r="BYA50" s="159"/>
      <c r="BYB50" s="159"/>
      <c r="BYC50" s="159"/>
      <c r="BYD50" s="159"/>
      <c r="BYE50" s="159"/>
      <c r="BYF50" s="159"/>
      <c r="BYG50" s="159"/>
      <c r="BYH50" s="159"/>
      <c r="BYI50" s="159"/>
      <c r="BYJ50" s="159"/>
      <c r="BYK50" s="159"/>
      <c r="BYL50" s="159"/>
      <c r="BYM50" s="159"/>
      <c r="BYN50" s="159"/>
      <c r="BYO50" s="159"/>
      <c r="BYP50" s="159"/>
      <c r="BYQ50" s="159"/>
      <c r="BYR50" s="159"/>
      <c r="BYS50" s="159"/>
      <c r="BYT50" s="159"/>
      <c r="BYU50" s="159"/>
      <c r="BYV50" s="159"/>
      <c r="BYW50" s="159"/>
      <c r="BYX50" s="159"/>
      <c r="BYY50" s="159"/>
      <c r="BYZ50" s="159"/>
      <c r="BZA50" s="159"/>
      <c r="BZB50" s="159"/>
      <c r="BZC50" s="159"/>
      <c r="BZD50" s="159"/>
      <c r="BZE50" s="159"/>
      <c r="BZF50" s="159"/>
      <c r="BZG50" s="159"/>
      <c r="BZH50" s="159"/>
      <c r="BZI50" s="159"/>
      <c r="BZJ50" s="159"/>
      <c r="BZK50" s="159"/>
      <c r="BZL50" s="159"/>
      <c r="BZM50" s="159"/>
      <c r="BZN50" s="159"/>
      <c r="BZO50" s="159"/>
      <c r="BZP50" s="159"/>
      <c r="BZQ50" s="159"/>
      <c r="BZR50" s="159"/>
      <c r="BZS50" s="159"/>
      <c r="BZT50" s="159"/>
      <c r="BZU50" s="159"/>
      <c r="BZV50" s="159"/>
      <c r="BZW50" s="159"/>
      <c r="BZX50" s="159"/>
      <c r="BZY50" s="159"/>
      <c r="BZZ50" s="159"/>
      <c r="CAA50" s="159"/>
      <c r="CAB50" s="159"/>
      <c r="CAC50" s="159"/>
      <c r="CAD50" s="159"/>
      <c r="CAE50" s="159"/>
      <c r="CAF50" s="159"/>
      <c r="CAG50" s="159"/>
      <c r="CAH50" s="159"/>
      <c r="CAI50" s="159"/>
      <c r="CAJ50" s="159"/>
      <c r="CAK50" s="159"/>
      <c r="CAL50" s="159"/>
      <c r="CAM50" s="159"/>
      <c r="CAN50" s="159"/>
      <c r="CAO50" s="159"/>
      <c r="CAP50" s="159"/>
      <c r="CAQ50" s="159"/>
      <c r="CAR50" s="159"/>
      <c r="CAS50" s="159"/>
      <c r="CAT50" s="159"/>
      <c r="CAU50" s="159"/>
      <c r="CAV50" s="159"/>
      <c r="CAW50" s="159"/>
      <c r="CAX50" s="159"/>
      <c r="CAY50" s="159"/>
      <c r="CAZ50" s="159"/>
      <c r="CBA50" s="159"/>
      <c r="CBB50" s="159"/>
      <c r="CBC50" s="159"/>
      <c r="CBD50" s="159"/>
      <c r="CBE50" s="159"/>
      <c r="CBF50" s="159"/>
      <c r="CBG50" s="159"/>
      <c r="CBH50" s="159"/>
      <c r="CBI50" s="159"/>
      <c r="CBJ50" s="159"/>
      <c r="CBK50" s="159"/>
      <c r="CBL50" s="159"/>
      <c r="CBM50" s="159"/>
      <c r="CBN50" s="159"/>
      <c r="CBO50" s="159"/>
      <c r="CBP50" s="159"/>
      <c r="CBQ50" s="159"/>
      <c r="CBR50" s="159"/>
      <c r="CBS50" s="159"/>
      <c r="CBT50" s="159"/>
      <c r="CBU50" s="159"/>
      <c r="CBV50" s="159"/>
      <c r="CBW50" s="159"/>
      <c r="CBX50" s="159"/>
      <c r="CBY50" s="159"/>
      <c r="CBZ50" s="159"/>
      <c r="CCA50" s="159"/>
      <c r="CCB50" s="159"/>
      <c r="CCC50" s="159"/>
      <c r="CCD50" s="159"/>
      <c r="CCE50" s="159"/>
      <c r="CCF50" s="159"/>
      <c r="CCG50" s="159"/>
      <c r="CCH50" s="159"/>
      <c r="CCI50" s="159"/>
      <c r="CCJ50" s="159"/>
      <c r="CCK50" s="159"/>
      <c r="CCL50" s="159"/>
      <c r="CCM50" s="159"/>
      <c r="CCN50" s="159"/>
      <c r="CCO50" s="159"/>
      <c r="CCP50" s="159"/>
      <c r="CCQ50" s="159"/>
      <c r="CCR50" s="159"/>
      <c r="CCS50" s="159"/>
      <c r="CCT50" s="159"/>
      <c r="CCU50" s="159"/>
      <c r="CCV50" s="159"/>
      <c r="CCW50" s="159"/>
      <c r="CCX50" s="159"/>
      <c r="CCY50" s="159"/>
      <c r="CCZ50" s="159"/>
      <c r="CDA50" s="159"/>
      <c r="CDB50" s="159"/>
      <c r="CDC50" s="159"/>
      <c r="CDD50" s="159"/>
      <c r="CDE50" s="159"/>
      <c r="CDF50" s="159"/>
      <c r="CDG50" s="159"/>
      <c r="CDH50" s="159"/>
      <c r="CDI50" s="159"/>
      <c r="CDJ50" s="159"/>
      <c r="CDK50" s="159"/>
      <c r="CDL50" s="159"/>
      <c r="CDM50" s="159"/>
      <c r="CDN50" s="159"/>
      <c r="CDO50" s="159"/>
      <c r="CDP50" s="159"/>
      <c r="CDQ50" s="159"/>
      <c r="CDR50" s="159"/>
      <c r="CDS50" s="159"/>
      <c r="CDT50" s="159"/>
      <c r="CDU50" s="159"/>
      <c r="CDV50" s="159"/>
      <c r="CDW50" s="159"/>
      <c r="CDX50" s="159"/>
      <c r="CDY50" s="159"/>
      <c r="CDZ50" s="159"/>
      <c r="CEA50" s="159"/>
      <c r="CEB50" s="159"/>
      <c r="CEC50" s="159"/>
      <c r="CED50" s="159"/>
      <c r="CEE50" s="159"/>
      <c r="CEF50" s="159"/>
      <c r="CEG50" s="159"/>
      <c r="CEH50" s="159"/>
      <c r="CEI50" s="159"/>
      <c r="CEJ50" s="159"/>
      <c r="CEK50" s="159"/>
      <c r="CEL50" s="159"/>
      <c r="CEM50" s="159"/>
      <c r="CEN50" s="159"/>
      <c r="CEO50" s="159"/>
      <c r="CEP50" s="159"/>
      <c r="CEQ50" s="159"/>
      <c r="CER50" s="159"/>
      <c r="CES50" s="159"/>
      <c r="CET50" s="159"/>
      <c r="CEU50" s="159"/>
      <c r="CEV50" s="159"/>
      <c r="CEW50" s="159"/>
      <c r="CEX50" s="159"/>
      <c r="CEY50" s="159"/>
      <c r="CEZ50" s="159"/>
      <c r="CFA50" s="159"/>
      <c r="CFB50" s="159"/>
      <c r="CFC50" s="159"/>
      <c r="CFD50" s="159"/>
      <c r="CFE50" s="159"/>
      <c r="CFF50" s="159"/>
      <c r="CFG50" s="159"/>
      <c r="CFH50" s="159"/>
      <c r="CFI50" s="159"/>
      <c r="CFJ50" s="159"/>
      <c r="CFK50" s="159"/>
      <c r="CFL50" s="159"/>
      <c r="CFM50" s="159"/>
      <c r="CFN50" s="159"/>
      <c r="CFO50" s="159"/>
      <c r="CFP50" s="159"/>
      <c r="CFQ50" s="159"/>
      <c r="CFR50" s="159"/>
      <c r="CFS50" s="159"/>
      <c r="CFT50" s="159"/>
      <c r="CFU50" s="159"/>
      <c r="CFV50" s="159"/>
      <c r="CFW50" s="159"/>
      <c r="CFX50" s="159"/>
      <c r="CFY50" s="159"/>
      <c r="CFZ50" s="159"/>
      <c r="CGA50" s="159"/>
      <c r="CGB50" s="159"/>
      <c r="CGC50" s="159"/>
      <c r="CGD50" s="159"/>
      <c r="CGE50" s="159"/>
      <c r="CGF50" s="159"/>
      <c r="CGG50" s="159"/>
      <c r="CGH50" s="159"/>
      <c r="CGI50" s="159"/>
      <c r="CGJ50" s="159"/>
      <c r="CGK50" s="159"/>
      <c r="CGL50" s="159"/>
      <c r="CGM50" s="159"/>
      <c r="CGN50" s="159"/>
      <c r="CGO50" s="159"/>
      <c r="CGP50" s="159"/>
      <c r="CGQ50" s="159"/>
      <c r="CGR50" s="159"/>
      <c r="CGS50" s="159"/>
      <c r="CGT50" s="159"/>
      <c r="CGU50" s="159"/>
      <c r="CGV50" s="159"/>
      <c r="CGW50" s="159"/>
      <c r="CGX50" s="159"/>
      <c r="CGY50" s="159"/>
      <c r="CGZ50" s="159"/>
      <c r="CHA50" s="159"/>
      <c r="CHB50" s="159"/>
      <c r="CHC50" s="159"/>
      <c r="CHD50" s="159"/>
      <c r="CHE50" s="159"/>
      <c r="CHF50" s="159"/>
      <c r="CHG50" s="159"/>
      <c r="CHH50" s="159"/>
      <c r="CHI50" s="159"/>
      <c r="CHJ50" s="159"/>
      <c r="CHK50" s="159"/>
      <c r="CHL50" s="159"/>
      <c r="CHM50" s="159"/>
      <c r="CHN50" s="159"/>
      <c r="CHO50" s="159"/>
      <c r="CHP50" s="159"/>
      <c r="CHQ50" s="159"/>
      <c r="CHR50" s="159"/>
      <c r="CHS50" s="159"/>
      <c r="CHT50" s="159"/>
      <c r="CHU50" s="159"/>
      <c r="CHV50" s="159"/>
      <c r="CHW50" s="159"/>
      <c r="CHX50" s="159"/>
      <c r="CHY50" s="159"/>
      <c r="CHZ50" s="159"/>
      <c r="CIA50" s="159"/>
      <c r="CIB50" s="159"/>
      <c r="CIC50" s="159"/>
      <c r="CID50" s="159"/>
      <c r="CIE50" s="159"/>
      <c r="CIF50" s="159"/>
      <c r="CIG50" s="159"/>
      <c r="CIH50" s="159"/>
      <c r="CII50" s="159"/>
      <c r="CIJ50" s="159"/>
      <c r="CIK50" s="159"/>
      <c r="CIL50" s="159"/>
      <c r="CIM50" s="159"/>
      <c r="CIN50" s="159"/>
      <c r="CIO50" s="159"/>
      <c r="CIP50" s="159"/>
      <c r="CIQ50" s="159"/>
      <c r="CIR50" s="159"/>
      <c r="CIS50" s="159"/>
      <c r="CIT50" s="159"/>
      <c r="CIU50" s="159"/>
      <c r="CIV50" s="159"/>
      <c r="CIW50" s="159"/>
      <c r="CIX50" s="159"/>
      <c r="CIY50" s="159"/>
      <c r="CIZ50" s="159"/>
      <c r="CJA50" s="159"/>
      <c r="CJB50" s="159"/>
      <c r="CJC50" s="159"/>
      <c r="CJD50" s="159"/>
      <c r="CJE50" s="159"/>
      <c r="CJF50" s="159"/>
      <c r="CJG50" s="159"/>
      <c r="CJH50" s="159"/>
      <c r="CJI50" s="159"/>
      <c r="CJJ50" s="159"/>
      <c r="CJK50" s="159"/>
      <c r="CJL50" s="159"/>
      <c r="CJM50" s="159"/>
      <c r="CJN50" s="159"/>
      <c r="CJO50" s="159"/>
      <c r="CJP50" s="159"/>
      <c r="CJQ50" s="159"/>
      <c r="CJR50" s="159"/>
      <c r="CJS50" s="159"/>
      <c r="CJT50" s="159"/>
      <c r="CJU50" s="159"/>
      <c r="CJV50" s="159"/>
      <c r="CJW50" s="159"/>
      <c r="CJX50" s="159"/>
      <c r="CJY50" s="159"/>
      <c r="CJZ50" s="159"/>
      <c r="CKA50" s="159"/>
      <c r="CKB50" s="159"/>
      <c r="CKC50" s="159"/>
      <c r="CKD50" s="159"/>
      <c r="CKE50" s="159"/>
      <c r="CKF50" s="159"/>
      <c r="CKG50" s="159"/>
      <c r="CKH50" s="159"/>
      <c r="CKI50" s="159"/>
      <c r="CKJ50" s="159"/>
      <c r="CKK50" s="159"/>
      <c r="CKL50" s="159"/>
      <c r="CKM50" s="159"/>
      <c r="CKN50" s="159"/>
      <c r="CKO50" s="159"/>
      <c r="CKP50" s="159"/>
      <c r="CKQ50" s="159"/>
      <c r="CKR50" s="159"/>
      <c r="CKS50" s="159"/>
      <c r="CKT50" s="159"/>
      <c r="CKU50" s="159"/>
      <c r="CKV50" s="159"/>
      <c r="CKW50" s="159"/>
      <c r="CKX50" s="159"/>
      <c r="CKY50" s="159"/>
      <c r="CKZ50" s="159"/>
      <c r="CLA50" s="159"/>
      <c r="CLB50" s="159"/>
      <c r="CLC50" s="159"/>
      <c r="CLD50" s="159"/>
      <c r="CLE50" s="159"/>
      <c r="CLF50" s="159"/>
      <c r="CLG50" s="159"/>
      <c r="CLH50" s="159"/>
      <c r="CLI50" s="159"/>
      <c r="CLJ50" s="159"/>
      <c r="CLK50" s="159"/>
      <c r="CLL50" s="159"/>
      <c r="CLM50" s="159"/>
      <c r="CLN50" s="159"/>
      <c r="CLO50" s="159"/>
      <c r="CLP50" s="159"/>
      <c r="CLQ50" s="159"/>
      <c r="CLR50" s="159"/>
      <c r="CLS50" s="159"/>
      <c r="CLT50" s="159"/>
      <c r="CLU50" s="159"/>
      <c r="CLV50" s="159"/>
      <c r="CLW50" s="159"/>
      <c r="CLX50" s="159"/>
      <c r="CLY50" s="159"/>
      <c r="CLZ50" s="159"/>
      <c r="CMA50" s="159"/>
      <c r="CMB50" s="159"/>
      <c r="CMC50" s="159"/>
      <c r="CMD50" s="159"/>
      <c r="CME50" s="159"/>
      <c r="CMF50" s="159"/>
      <c r="CMG50" s="159"/>
      <c r="CMH50" s="159"/>
      <c r="CMI50" s="159"/>
      <c r="CMJ50" s="159"/>
      <c r="CMK50" s="159"/>
      <c r="CML50" s="159"/>
      <c r="CMM50" s="159"/>
      <c r="CMN50" s="159"/>
      <c r="CMO50" s="159"/>
      <c r="CMP50" s="159"/>
      <c r="CMQ50" s="159"/>
      <c r="CMR50" s="159"/>
      <c r="CMS50" s="159"/>
      <c r="CMT50" s="159"/>
      <c r="CMU50" s="159"/>
      <c r="CMV50" s="159"/>
      <c r="CMW50" s="159"/>
      <c r="CMX50" s="159"/>
      <c r="CMY50" s="159"/>
      <c r="CMZ50" s="159"/>
      <c r="CNA50" s="159"/>
      <c r="CNB50" s="159"/>
      <c r="CNC50" s="159"/>
      <c r="CND50" s="159"/>
      <c r="CNE50" s="159"/>
      <c r="CNF50" s="159"/>
      <c r="CNG50" s="159"/>
      <c r="CNH50" s="159"/>
      <c r="CNI50" s="159"/>
      <c r="CNJ50" s="159"/>
      <c r="CNK50" s="159"/>
      <c r="CNL50" s="159"/>
      <c r="CNM50" s="159"/>
      <c r="CNN50" s="159"/>
      <c r="CNO50" s="159"/>
      <c r="CNP50" s="159"/>
      <c r="CNQ50" s="159"/>
      <c r="CNR50" s="159"/>
      <c r="CNS50" s="159"/>
      <c r="CNT50" s="159"/>
      <c r="CNU50" s="159"/>
      <c r="CNV50" s="159"/>
      <c r="CNW50" s="159"/>
      <c r="CNX50" s="159"/>
      <c r="CNY50" s="159"/>
      <c r="CNZ50" s="159"/>
      <c r="COA50" s="159"/>
      <c r="COB50" s="159"/>
      <c r="COC50" s="159"/>
      <c r="COD50" s="159"/>
      <c r="COE50" s="159"/>
      <c r="COF50" s="159"/>
      <c r="COG50" s="159"/>
      <c r="COH50" s="159"/>
      <c r="COI50" s="159"/>
      <c r="COJ50" s="159"/>
      <c r="COK50" s="159"/>
      <c r="COL50" s="159"/>
      <c r="COM50" s="159"/>
      <c r="CON50" s="159"/>
      <c r="COO50" s="159"/>
      <c r="COP50" s="159"/>
      <c r="COQ50" s="159"/>
      <c r="COR50" s="159"/>
      <c r="COS50" s="159"/>
      <c r="COT50" s="159"/>
      <c r="COU50" s="159"/>
      <c r="COV50" s="159"/>
      <c r="COW50" s="159"/>
      <c r="COX50" s="159"/>
      <c r="COY50" s="159"/>
      <c r="COZ50" s="159"/>
      <c r="CPA50" s="159"/>
      <c r="CPB50" s="159"/>
      <c r="CPC50" s="159"/>
      <c r="CPD50" s="159"/>
      <c r="CPE50" s="159"/>
      <c r="CPF50" s="159"/>
      <c r="CPG50" s="159"/>
      <c r="CPH50" s="159"/>
      <c r="CPI50" s="159"/>
      <c r="CPJ50" s="159"/>
      <c r="CPK50" s="159"/>
      <c r="CPL50" s="159"/>
      <c r="CPM50" s="159"/>
      <c r="CPN50" s="159"/>
      <c r="CPO50" s="159"/>
      <c r="CPP50" s="159"/>
      <c r="CPQ50" s="159"/>
      <c r="CPR50" s="159"/>
      <c r="CPS50" s="159"/>
      <c r="CPT50" s="159"/>
      <c r="CPU50" s="159"/>
      <c r="CPV50" s="159"/>
      <c r="CPW50" s="159"/>
      <c r="CPX50" s="159"/>
      <c r="CPY50" s="159"/>
      <c r="CPZ50" s="159"/>
      <c r="CQA50" s="159"/>
      <c r="CQB50" s="159"/>
      <c r="CQC50" s="159"/>
      <c r="CQD50" s="159"/>
      <c r="CQE50" s="159"/>
      <c r="CQF50" s="159"/>
      <c r="CQG50" s="159"/>
      <c r="CQH50" s="159"/>
      <c r="CQI50" s="159"/>
      <c r="CQJ50" s="159"/>
      <c r="CQK50" s="159"/>
      <c r="CQL50" s="159"/>
      <c r="CQM50" s="159"/>
      <c r="CQN50" s="159"/>
      <c r="CQO50" s="159"/>
      <c r="CQP50" s="159"/>
      <c r="CQQ50" s="159"/>
      <c r="CQR50" s="159"/>
      <c r="CQS50" s="159"/>
      <c r="CQT50" s="159"/>
      <c r="CQU50" s="159"/>
      <c r="CQV50" s="159"/>
      <c r="CQW50" s="159"/>
      <c r="CQX50" s="159"/>
      <c r="CQY50" s="159"/>
      <c r="CQZ50" s="159"/>
      <c r="CRA50" s="159"/>
      <c r="CRB50" s="159"/>
      <c r="CRC50" s="159"/>
      <c r="CRD50" s="159"/>
      <c r="CRE50" s="159"/>
      <c r="CRF50" s="159"/>
      <c r="CRG50" s="159"/>
      <c r="CRH50" s="159"/>
      <c r="CRI50" s="159"/>
      <c r="CRJ50" s="159"/>
      <c r="CRK50" s="159"/>
      <c r="CRL50" s="159"/>
      <c r="CRM50" s="159"/>
      <c r="CRN50" s="159"/>
      <c r="CRO50" s="159"/>
      <c r="CRP50" s="159"/>
      <c r="CRQ50" s="159"/>
      <c r="CRR50" s="159"/>
      <c r="CRS50" s="159"/>
      <c r="CRT50" s="159"/>
      <c r="CRU50" s="159"/>
      <c r="CRV50" s="159"/>
      <c r="CRW50" s="159"/>
      <c r="CRX50" s="159"/>
      <c r="CRY50" s="159"/>
      <c r="CRZ50" s="159"/>
      <c r="CSA50" s="159"/>
      <c r="CSB50" s="159"/>
      <c r="CSC50" s="159"/>
      <c r="CSD50" s="159"/>
      <c r="CSE50" s="159"/>
      <c r="CSF50" s="159"/>
      <c r="CSG50" s="159"/>
      <c r="CSH50" s="159"/>
      <c r="CSI50" s="159"/>
      <c r="CSJ50" s="159"/>
      <c r="CSK50" s="159"/>
      <c r="CSL50" s="159"/>
      <c r="CSM50" s="159"/>
      <c r="CSN50" s="159"/>
      <c r="CSO50" s="159"/>
      <c r="CSP50" s="159"/>
      <c r="CSQ50" s="159"/>
      <c r="CSR50" s="159"/>
      <c r="CSS50" s="159"/>
      <c r="CST50" s="159"/>
      <c r="CSU50" s="159"/>
      <c r="CSV50" s="159"/>
      <c r="CSW50" s="159"/>
      <c r="CSX50" s="159"/>
      <c r="CSY50" s="159"/>
      <c r="CSZ50" s="159"/>
      <c r="CTA50" s="159"/>
      <c r="CTB50" s="159"/>
      <c r="CTC50" s="159"/>
      <c r="CTD50" s="159"/>
      <c r="CTE50" s="159"/>
      <c r="CTF50" s="159"/>
      <c r="CTG50" s="159"/>
      <c r="CTH50" s="159"/>
      <c r="CTI50" s="159"/>
      <c r="CTJ50" s="159"/>
      <c r="CTK50" s="159"/>
      <c r="CTL50" s="159"/>
      <c r="CTM50" s="159"/>
      <c r="CTN50" s="159"/>
      <c r="CTO50" s="159"/>
      <c r="CTP50" s="159"/>
      <c r="CTQ50" s="159"/>
      <c r="CTR50" s="159"/>
      <c r="CTS50" s="159"/>
      <c r="CTT50" s="159"/>
      <c r="CTU50" s="159"/>
      <c r="CTV50" s="159"/>
      <c r="CTW50" s="159"/>
      <c r="CTX50" s="159"/>
      <c r="CTY50" s="159"/>
      <c r="CTZ50" s="159"/>
      <c r="CUA50" s="159"/>
      <c r="CUB50" s="159"/>
      <c r="CUC50" s="159"/>
      <c r="CUD50" s="159"/>
      <c r="CUE50" s="159"/>
      <c r="CUF50" s="159"/>
      <c r="CUG50" s="159"/>
      <c r="CUH50" s="159"/>
      <c r="CUI50" s="159"/>
      <c r="CUJ50" s="159"/>
      <c r="CUK50" s="159"/>
      <c r="CUL50" s="159"/>
      <c r="CUM50" s="159"/>
      <c r="CUN50" s="159"/>
      <c r="CUO50" s="159"/>
      <c r="CUP50" s="159"/>
      <c r="CUQ50" s="159"/>
      <c r="CUR50" s="159"/>
      <c r="CUS50" s="159"/>
      <c r="CUT50" s="159"/>
      <c r="CUU50" s="159"/>
      <c r="CUV50" s="159"/>
      <c r="CUW50" s="159"/>
      <c r="CUX50" s="159"/>
      <c r="CUY50" s="159"/>
      <c r="CUZ50" s="159"/>
      <c r="CVA50" s="159"/>
      <c r="CVB50" s="159"/>
      <c r="CVC50" s="159"/>
      <c r="CVD50" s="159"/>
      <c r="CVE50" s="159"/>
      <c r="CVF50" s="159"/>
      <c r="CVG50" s="159"/>
      <c r="CVH50" s="159"/>
      <c r="CVI50" s="159"/>
      <c r="CVJ50" s="159"/>
      <c r="CVK50" s="159"/>
      <c r="CVL50" s="159"/>
      <c r="CVM50" s="159"/>
      <c r="CVN50" s="159"/>
      <c r="CVO50" s="159"/>
      <c r="CVP50" s="159"/>
      <c r="CVQ50" s="159"/>
      <c r="CVR50" s="159"/>
      <c r="CVS50" s="159"/>
      <c r="CVT50" s="159"/>
      <c r="CVU50" s="159"/>
      <c r="CVV50" s="159"/>
      <c r="CVW50" s="159"/>
      <c r="CVX50" s="159"/>
      <c r="CVY50" s="159"/>
      <c r="CVZ50" s="159"/>
      <c r="CWA50" s="159"/>
      <c r="CWB50" s="159"/>
      <c r="CWC50" s="159"/>
      <c r="CWD50" s="159"/>
      <c r="CWE50" s="159"/>
      <c r="CWF50" s="159"/>
      <c r="CWG50" s="159"/>
      <c r="CWH50" s="159"/>
      <c r="CWI50" s="159"/>
      <c r="CWJ50" s="159"/>
      <c r="CWK50" s="159"/>
      <c r="CWL50" s="159"/>
      <c r="CWM50" s="159"/>
      <c r="CWN50" s="159"/>
      <c r="CWO50" s="159"/>
      <c r="CWP50" s="159"/>
      <c r="CWQ50" s="159"/>
      <c r="CWR50" s="159"/>
      <c r="CWS50" s="159"/>
      <c r="CWT50" s="159"/>
      <c r="CWU50" s="159"/>
      <c r="CWV50" s="159"/>
      <c r="CWW50" s="159"/>
      <c r="CWX50" s="159"/>
      <c r="CWY50" s="159"/>
      <c r="CWZ50" s="159"/>
      <c r="CXA50" s="159"/>
      <c r="CXB50" s="159"/>
      <c r="CXC50" s="159"/>
      <c r="CXD50" s="159"/>
      <c r="CXE50" s="159"/>
      <c r="CXF50" s="159"/>
      <c r="CXG50" s="159"/>
      <c r="CXH50" s="159"/>
      <c r="CXI50" s="159"/>
      <c r="CXJ50" s="159"/>
      <c r="CXK50" s="159"/>
      <c r="CXL50" s="159"/>
      <c r="CXM50" s="159"/>
      <c r="CXN50" s="159"/>
      <c r="CXO50" s="159"/>
      <c r="CXP50" s="159"/>
      <c r="CXQ50" s="159"/>
      <c r="CXR50" s="159"/>
      <c r="CXS50" s="159"/>
      <c r="CXT50" s="159"/>
      <c r="CXU50" s="159"/>
      <c r="CXV50" s="159"/>
      <c r="CXW50" s="159"/>
      <c r="CXX50" s="159"/>
      <c r="CXY50" s="159"/>
      <c r="CXZ50" s="159"/>
      <c r="CYA50" s="159"/>
      <c r="CYB50" s="159"/>
      <c r="CYC50" s="159"/>
      <c r="CYD50" s="159"/>
      <c r="CYE50" s="159"/>
      <c r="CYF50" s="159"/>
      <c r="CYG50" s="159"/>
      <c r="CYH50" s="159"/>
      <c r="CYI50" s="159"/>
      <c r="CYJ50" s="159"/>
      <c r="CYK50" s="159"/>
      <c r="CYL50" s="159"/>
      <c r="CYM50" s="159"/>
      <c r="CYN50" s="159"/>
      <c r="CYO50" s="159"/>
      <c r="CYP50" s="159"/>
      <c r="CYQ50" s="159"/>
      <c r="CYR50" s="159"/>
      <c r="CYS50" s="159"/>
      <c r="CYT50" s="159"/>
      <c r="CYU50" s="159"/>
      <c r="CYV50" s="159"/>
      <c r="CYW50" s="159"/>
      <c r="CYX50" s="159"/>
      <c r="CYY50" s="159"/>
      <c r="CYZ50" s="159"/>
      <c r="CZA50" s="159"/>
      <c r="CZB50" s="159"/>
      <c r="CZC50" s="159"/>
      <c r="CZD50" s="159"/>
      <c r="CZE50" s="159"/>
      <c r="CZF50" s="159"/>
      <c r="CZG50" s="159"/>
      <c r="CZH50" s="159"/>
      <c r="CZI50" s="159"/>
      <c r="CZJ50" s="159"/>
      <c r="CZK50" s="159"/>
      <c r="CZL50" s="159"/>
      <c r="CZM50" s="159"/>
      <c r="CZN50" s="159"/>
      <c r="CZO50" s="159"/>
      <c r="CZP50" s="159"/>
      <c r="CZQ50" s="159"/>
      <c r="CZR50" s="159"/>
      <c r="CZS50" s="159"/>
      <c r="CZT50" s="159"/>
      <c r="CZU50" s="159"/>
      <c r="CZV50" s="159"/>
      <c r="CZW50" s="159"/>
      <c r="CZX50" s="159"/>
      <c r="CZY50" s="159"/>
      <c r="CZZ50" s="159"/>
      <c r="DAA50" s="159"/>
      <c r="DAB50" s="159"/>
      <c r="DAC50" s="159"/>
      <c r="DAD50" s="159"/>
      <c r="DAE50" s="159"/>
      <c r="DAF50" s="159"/>
      <c r="DAG50" s="159"/>
      <c r="DAH50" s="159"/>
      <c r="DAI50" s="159"/>
      <c r="DAJ50" s="159"/>
      <c r="DAK50" s="159"/>
      <c r="DAL50" s="159"/>
      <c r="DAM50" s="159"/>
      <c r="DAN50" s="159"/>
      <c r="DAO50" s="159"/>
      <c r="DAP50" s="159"/>
      <c r="DAQ50" s="159"/>
      <c r="DAR50" s="159"/>
      <c r="DAS50" s="159"/>
      <c r="DAT50" s="159"/>
      <c r="DAU50" s="159"/>
      <c r="DAV50" s="159"/>
      <c r="DAW50" s="159"/>
      <c r="DAX50" s="159"/>
      <c r="DAY50" s="159"/>
      <c r="DAZ50" s="159"/>
      <c r="DBA50" s="159"/>
      <c r="DBB50" s="159"/>
      <c r="DBC50" s="159"/>
      <c r="DBD50" s="159"/>
      <c r="DBE50" s="159"/>
      <c r="DBF50" s="159"/>
      <c r="DBG50" s="159"/>
      <c r="DBH50" s="159"/>
      <c r="DBI50" s="159"/>
      <c r="DBJ50" s="159"/>
      <c r="DBK50" s="159"/>
      <c r="DBL50" s="159"/>
      <c r="DBM50" s="159"/>
      <c r="DBN50" s="159"/>
      <c r="DBO50" s="159"/>
      <c r="DBP50" s="159"/>
      <c r="DBQ50" s="159"/>
      <c r="DBR50" s="159"/>
      <c r="DBS50" s="159"/>
      <c r="DBT50" s="159"/>
      <c r="DBU50" s="159"/>
      <c r="DBV50" s="159"/>
      <c r="DBW50" s="159"/>
      <c r="DBX50" s="159"/>
      <c r="DBY50" s="159"/>
      <c r="DBZ50" s="159"/>
      <c r="DCA50" s="159"/>
      <c r="DCB50" s="159"/>
      <c r="DCC50" s="159"/>
      <c r="DCD50" s="159"/>
      <c r="DCE50" s="159"/>
      <c r="DCF50" s="159"/>
      <c r="DCG50" s="159"/>
      <c r="DCH50" s="159"/>
      <c r="DCI50" s="159"/>
      <c r="DCJ50" s="159"/>
      <c r="DCK50" s="159"/>
      <c r="DCL50" s="159"/>
      <c r="DCM50" s="159"/>
      <c r="DCN50" s="159"/>
      <c r="DCO50" s="159"/>
      <c r="DCP50" s="159"/>
      <c r="DCQ50" s="159"/>
      <c r="DCR50" s="159"/>
      <c r="DCS50" s="159"/>
      <c r="DCT50" s="159"/>
      <c r="DCU50" s="159"/>
      <c r="DCV50" s="159"/>
      <c r="DCW50" s="159"/>
      <c r="DCX50" s="159"/>
      <c r="DCY50" s="159"/>
      <c r="DCZ50" s="159"/>
      <c r="DDA50" s="159"/>
      <c r="DDB50" s="159"/>
      <c r="DDC50" s="159"/>
      <c r="DDD50" s="159"/>
      <c r="DDE50" s="159"/>
      <c r="DDF50" s="159"/>
      <c r="DDG50" s="159"/>
      <c r="DDH50" s="159"/>
      <c r="DDI50" s="159"/>
      <c r="DDJ50" s="159"/>
      <c r="DDK50" s="159"/>
      <c r="DDL50" s="159"/>
      <c r="DDM50" s="159"/>
      <c r="DDN50" s="159"/>
      <c r="DDO50" s="159"/>
      <c r="DDP50" s="159"/>
      <c r="DDQ50" s="159"/>
      <c r="DDR50" s="159"/>
      <c r="DDS50" s="159"/>
      <c r="DDT50" s="159"/>
      <c r="DDU50" s="159"/>
      <c r="DDV50" s="159"/>
      <c r="DDW50" s="159"/>
      <c r="DDX50" s="159"/>
      <c r="DDY50" s="159"/>
      <c r="DDZ50" s="159"/>
      <c r="DEA50" s="159"/>
      <c r="DEB50" s="159"/>
      <c r="DEC50" s="159"/>
      <c r="DED50" s="159"/>
      <c r="DEE50" s="159"/>
      <c r="DEF50" s="159"/>
      <c r="DEG50" s="159"/>
      <c r="DEH50" s="159"/>
      <c r="DEI50" s="159"/>
      <c r="DEJ50" s="159"/>
      <c r="DEK50" s="159"/>
      <c r="DEL50" s="159"/>
      <c r="DEM50" s="159"/>
      <c r="DEN50" s="159"/>
      <c r="DEO50" s="159"/>
      <c r="DEP50" s="159"/>
      <c r="DEQ50" s="159"/>
      <c r="DER50" s="159"/>
      <c r="DES50" s="159"/>
      <c r="DET50" s="159"/>
      <c r="DEU50" s="159"/>
      <c r="DEV50" s="159"/>
      <c r="DEW50" s="159"/>
      <c r="DEX50" s="159"/>
      <c r="DEY50" s="159"/>
      <c r="DEZ50" s="159"/>
      <c r="DFA50" s="159"/>
      <c r="DFB50" s="159"/>
      <c r="DFC50" s="159"/>
      <c r="DFD50" s="159"/>
      <c r="DFE50" s="159"/>
      <c r="DFF50" s="159"/>
      <c r="DFG50" s="159"/>
      <c r="DFH50" s="159"/>
      <c r="DFI50" s="159"/>
      <c r="DFJ50" s="159"/>
      <c r="DFK50" s="159"/>
      <c r="DFL50" s="159"/>
      <c r="DFM50" s="159"/>
      <c r="DFN50" s="159"/>
      <c r="DFO50" s="159"/>
      <c r="DFP50" s="159"/>
      <c r="DFQ50" s="159"/>
      <c r="DFR50" s="159"/>
      <c r="DFS50" s="159"/>
      <c r="DFT50" s="159"/>
      <c r="DFU50" s="159"/>
      <c r="DFV50" s="159"/>
      <c r="DFW50" s="159"/>
      <c r="DFX50" s="159"/>
      <c r="DFY50" s="159"/>
      <c r="DFZ50" s="159"/>
      <c r="DGA50" s="159"/>
      <c r="DGB50" s="159"/>
      <c r="DGC50" s="159"/>
      <c r="DGD50" s="159"/>
      <c r="DGE50" s="159"/>
      <c r="DGF50" s="159"/>
      <c r="DGG50" s="159"/>
      <c r="DGH50" s="159"/>
      <c r="DGI50" s="159"/>
      <c r="DGJ50" s="159"/>
      <c r="DGK50" s="159"/>
      <c r="DGL50" s="159"/>
      <c r="DGM50" s="159"/>
      <c r="DGN50" s="159"/>
      <c r="DGO50" s="159"/>
      <c r="DGP50" s="159"/>
      <c r="DGQ50" s="159"/>
      <c r="DGR50" s="159"/>
      <c r="DGS50" s="159"/>
      <c r="DGT50" s="159"/>
      <c r="DGU50" s="159"/>
      <c r="DGV50" s="159"/>
      <c r="DGW50" s="159"/>
      <c r="DGX50" s="159"/>
      <c r="DGY50" s="159"/>
      <c r="DGZ50" s="159"/>
      <c r="DHA50" s="159"/>
      <c r="DHB50" s="159"/>
      <c r="DHC50" s="159"/>
      <c r="DHD50" s="159"/>
      <c r="DHE50" s="159"/>
      <c r="DHF50" s="159"/>
      <c r="DHG50" s="159"/>
      <c r="DHH50" s="159"/>
      <c r="DHI50" s="159"/>
      <c r="DHJ50" s="159"/>
      <c r="DHK50" s="159"/>
      <c r="DHL50" s="159"/>
      <c r="DHM50" s="159"/>
      <c r="DHN50" s="159"/>
      <c r="DHO50" s="159"/>
      <c r="DHP50" s="159"/>
      <c r="DHQ50" s="159"/>
      <c r="DHR50" s="159"/>
      <c r="DHS50" s="159"/>
      <c r="DHT50" s="159"/>
      <c r="DHU50" s="159"/>
      <c r="DHV50" s="159"/>
      <c r="DHW50" s="159"/>
      <c r="DHX50" s="159"/>
      <c r="DHY50" s="159"/>
      <c r="DHZ50" s="159"/>
      <c r="DIA50" s="159"/>
      <c r="DIB50" s="159"/>
      <c r="DIC50" s="159"/>
      <c r="DID50" s="159"/>
      <c r="DIE50" s="159"/>
      <c r="DIF50" s="159"/>
      <c r="DIG50" s="159"/>
      <c r="DIH50" s="159"/>
      <c r="DII50" s="159"/>
      <c r="DIJ50" s="159"/>
      <c r="DIK50" s="159"/>
      <c r="DIL50" s="159"/>
      <c r="DIM50" s="159"/>
      <c r="DIN50" s="159"/>
      <c r="DIO50" s="159"/>
      <c r="DIP50" s="159"/>
      <c r="DIQ50" s="159"/>
      <c r="DIR50" s="159"/>
      <c r="DIS50" s="159"/>
      <c r="DIT50" s="159"/>
      <c r="DIU50" s="159"/>
      <c r="DIV50" s="159"/>
      <c r="DIW50" s="159"/>
      <c r="DIX50" s="159"/>
      <c r="DIY50" s="159"/>
      <c r="DIZ50" s="159"/>
      <c r="DJA50" s="159"/>
      <c r="DJB50" s="159"/>
      <c r="DJC50" s="159"/>
      <c r="DJD50" s="159"/>
      <c r="DJE50" s="159"/>
      <c r="DJF50" s="159"/>
      <c r="DJG50" s="159"/>
      <c r="DJH50" s="159"/>
      <c r="DJI50" s="159"/>
      <c r="DJJ50" s="159"/>
      <c r="DJK50" s="159"/>
      <c r="DJL50" s="159"/>
      <c r="DJM50" s="159"/>
      <c r="DJN50" s="159"/>
      <c r="DJO50" s="159"/>
      <c r="DJP50" s="159"/>
      <c r="DJQ50" s="159"/>
      <c r="DJR50" s="159"/>
      <c r="DJS50" s="159"/>
      <c r="DJT50" s="159"/>
      <c r="DJU50" s="159"/>
      <c r="DJV50" s="159"/>
      <c r="DJW50" s="159"/>
      <c r="DJX50" s="159"/>
      <c r="DJY50" s="159"/>
      <c r="DJZ50" s="159"/>
      <c r="DKA50" s="159"/>
      <c r="DKB50" s="159"/>
      <c r="DKC50" s="159"/>
      <c r="DKD50" s="159"/>
      <c r="DKE50" s="159"/>
      <c r="DKF50" s="159"/>
      <c r="DKG50" s="159"/>
      <c r="DKH50" s="159"/>
      <c r="DKI50" s="159"/>
      <c r="DKJ50" s="159"/>
      <c r="DKK50" s="159"/>
      <c r="DKL50" s="159"/>
      <c r="DKM50" s="159"/>
      <c r="DKN50" s="159"/>
      <c r="DKO50" s="159"/>
      <c r="DKP50" s="159"/>
      <c r="DKQ50" s="159"/>
      <c r="DKR50" s="159"/>
      <c r="DKS50" s="159"/>
      <c r="DKT50" s="159"/>
      <c r="DKU50" s="159"/>
      <c r="DKV50" s="159"/>
      <c r="DKW50" s="159"/>
      <c r="DKX50" s="159"/>
      <c r="DKY50" s="159"/>
      <c r="DKZ50" s="159"/>
      <c r="DLA50" s="159"/>
      <c r="DLB50" s="159"/>
      <c r="DLC50" s="159"/>
      <c r="DLD50" s="159"/>
      <c r="DLE50" s="159"/>
      <c r="DLF50" s="159"/>
      <c r="DLG50" s="159"/>
      <c r="DLH50" s="159"/>
      <c r="DLI50" s="159"/>
      <c r="DLJ50" s="159"/>
      <c r="DLK50" s="159"/>
      <c r="DLL50" s="159"/>
      <c r="DLM50" s="159"/>
      <c r="DLN50" s="159"/>
      <c r="DLO50" s="159"/>
      <c r="DLP50" s="159"/>
      <c r="DLQ50" s="159"/>
      <c r="DLR50" s="159"/>
      <c r="DLS50" s="159"/>
      <c r="DLT50" s="159"/>
      <c r="DLU50" s="159"/>
      <c r="DLV50" s="159"/>
      <c r="DLW50" s="159"/>
      <c r="DLX50" s="159"/>
      <c r="DLY50" s="159"/>
      <c r="DLZ50" s="159"/>
      <c r="DMA50" s="159"/>
      <c r="DMB50" s="159"/>
      <c r="DMC50" s="159"/>
      <c r="DMD50" s="159"/>
      <c r="DME50" s="159"/>
      <c r="DMF50" s="159"/>
      <c r="DMG50" s="159"/>
      <c r="DMH50" s="159"/>
      <c r="DMI50" s="159"/>
      <c r="DMJ50" s="159"/>
      <c r="DMK50" s="159"/>
      <c r="DML50" s="159"/>
      <c r="DMM50" s="159"/>
      <c r="DMN50" s="159"/>
      <c r="DMO50" s="159"/>
      <c r="DMP50" s="159"/>
      <c r="DMQ50" s="159"/>
      <c r="DMR50" s="159"/>
      <c r="DMS50" s="159"/>
      <c r="DMT50" s="159"/>
      <c r="DMU50" s="159"/>
      <c r="DMV50" s="159"/>
      <c r="DMW50" s="159"/>
      <c r="DMX50" s="159"/>
      <c r="DMY50" s="159"/>
      <c r="DMZ50" s="159"/>
      <c r="DNA50" s="159"/>
      <c r="DNB50" s="159"/>
      <c r="DNC50" s="159"/>
      <c r="DND50" s="159"/>
      <c r="DNE50" s="159"/>
      <c r="DNF50" s="159"/>
      <c r="DNG50" s="159"/>
      <c r="DNH50" s="159"/>
      <c r="DNI50" s="159"/>
      <c r="DNJ50" s="159"/>
      <c r="DNK50" s="159"/>
      <c r="DNL50" s="159"/>
      <c r="DNM50" s="159"/>
      <c r="DNN50" s="159"/>
      <c r="DNO50" s="159"/>
      <c r="DNP50" s="159"/>
      <c r="DNQ50" s="159"/>
      <c r="DNR50" s="159"/>
      <c r="DNS50" s="159"/>
      <c r="DNT50" s="159"/>
      <c r="DNU50" s="159"/>
      <c r="DNV50" s="159"/>
      <c r="DNW50" s="159"/>
      <c r="DNX50" s="159"/>
      <c r="DNY50" s="159"/>
      <c r="DNZ50" s="159"/>
      <c r="DOA50" s="159"/>
      <c r="DOB50" s="159"/>
      <c r="DOC50" s="159"/>
      <c r="DOD50" s="159"/>
      <c r="DOE50" s="159"/>
      <c r="DOF50" s="159"/>
      <c r="DOG50" s="159"/>
      <c r="DOH50" s="159"/>
      <c r="DOI50" s="159"/>
      <c r="DOJ50" s="159"/>
      <c r="DOK50" s="159"/>
      <c r="DOL50" s="159"/>
      <c r="DOM50" s="159"/>
      <c r="DON50" s="159"/>
      <c r="DOO50" s="159"/>
      <c r="DOP50" s="159"/>
      <c r="DOQ50" s="159"/>
      <c r="DOR50" s="159"/>
      <c r="DOS50" s="159"/>
      <c r="DOT50" s="159"/>
      <c r="DOU50" s="159"/>
      <c r="DOV50" s="159"/>
      <c r="DOW50" s="159"/>
      <c r="DOX50" s="159"/>
      <c r="DOY50" s="159"/>
      <c r="DOZ50" s="159"/>
      <c r="DPA50" s="159"/>
      <c r="DPB50" s="159"/>
      <c r="DPC50" s="159"/>
      <c r="DPD50" s="159"/>
      <c r="DPE50" s="159"/>
      <c r="DPF50" s="159"/>
      <c r="DPG50" s="159"/>
      <c r="DPH50" s="159"/>
      <c r="DPI50" s="159"/>
      <c r="DPJ50" s="159"/>
      <c r="DPK50" s="159"/>
      <c r="DPL50" s="159"/>
      <c r="DPM50" s="159"/>
      <c r="DPN50" s="159"/>
      <c r="DPO50" s="159"/>
      <c r="DPP50" s="159"/>
      <c r="DPQ50" s="159"/>
      <c r="DPR50" s="159"/>
      <c r="DPS50" s="159"/>
      <c r="DPT50" s="159"/>
      <c r="DPU50" s="159"/>
      <c r="DPV50" s="159"/>
      <c r="DPW50" s="159"/>
      <c r="DPX50" s="159"/>
      <c r="DPY50" s="159"/>
      <c r="DPZ50" s="159"/>
      <c r="DQA50" s="159"/>
      <c r="DQB50" s="159"/>
      <c r="DQC50" s="159"/>
      <c r="DQD50" s="159"/>
      <c r="DQE50" s="159"/>
      <c r="DQF50" s="159"/>
      <c r="DQG50" s="159"/>
      <c r="DQH50" s="159"/>
      <c r="DQI50" s="159"/>
      <c r="DQJ50" s="159"/>
      <c r="DQK50" s="159"/>
      <c r="DQL50" s="159"/>
      <c r="DQM50" s="159"/>
      <c r="DQN50" s="159"/>
      <c r="DQO50" s="159"/>
      <c r="DQP50" s="159"/>
      <c r="DQQ50" s="159"/>
      <c r="DQR50" s="159"/>
      <c r="DQS50" s="159"/>
      <c r="DQT50" s="159"/>
      <c r="DQU50" s="159"/>
      <c r="DQV50" s="159"/>
      <c r="DQW50" s="159"/>
      <c r="DQX50" s="159"/>
      <c r="DQY50" s="159"/>
      <c r="DQZ50" s="159"/>
      <c r="DRA50" s="159"/>
      <c r="DRB50" s="159"/>
      <c r="DRC50" s="159"/>
      <c r="DRD50" s="159"/>
      <c r="DRE50" s="159"/>
      <c r="DRF50" s="159"/>
      <c r="DRG50" s="159"/>
      <c r="DRH50" s="159"/>
      <c r="DRI50" s="159"/>
      <c r="DRJ50" s="159"/>
      <c r="DRK50" s="159"/>
      <c r="DRL50" s="159"/>
      <c r="DRM50" s="159"/>
      <c r="DRN50" s="159"/>
      <c r="DRO50" s="159"/>
      <c r="DRP50" s="159"/>
      <c r="DRQ50" s="159"/>
      <c r="DRR50" s="159"/>
      <c r="DRS50" s="159"/>
      <c r="DRT50" s="159"/>
      <c r="DRU50" s="159"/>
      <c r="DRV50" s="159"/>
      <c r="DRW50" s="159"/>
      <c r="DRX50" s="159"/>
      <c r="DRY50" s="159"/>
      <c r="DRZ50" s="159"/>
      <c r="DSA50" s="159"/>
      <c r="DSB50" s="159"/>
      <c r="DSC50" s="159"/>
      <c r="DSD50" s="159"/>
      <c r="DSE50" s="159"/>
      <c r="DSF50" s="159"/>
      <c r="DSG50" s="159"/>
      <c r="DSH50" s="159"/>
      <c r="DSI50" s="159"/>
      <c r="DSJ50" s="159"/>
      <c r="DSK50" s="159"/>
      <c r="DSL50" s="159"/>
      <c r="DSM50" s="159"/>
      <c r="DSN50" s="159"/>
      <c r="DSO50" s="159"/>
      <c r="DSP50" s="159"/>
      <c r="DSQ50" s="159"/>
      <c r="DSR50" s="159"/>
      <c r="DSS50" s="159"/>
      <c r="DST50" s="159"/>
      <c r="DSU50" s="159"/>
      <c r="DSV50" s="159"/>
      <c r="DSW50" s="159"/>
      <c r="DSX50" s="159"/>
      <c r="DSY50" s="159"/>
      <c r="DSZ50" s="159"/>
      <c r="DTA50" s="159"/>
      <c r="DTB50" s="159"/>
      <c r="DTC50" s="159"/>
      <c r="DTD50" s="159"/>
      <c r="DTE50" s="159"/>
      <c r="DTF50" s="159"/>
      <c r="DTG50" s="159"/>
      <c r="DTH50" s="159"/>
      <c r="DTI50" s="159"/>
      <c r="DTJ50" s="159"/>
      <c r="DTK50" s="159"/>
      <c r="DTL50" s="159"/>
      <c r="DTM50" s="159"/>
      <c r="DTN50" s="159"/>
      <c r="DTO50" s="159"/>
      <c r="DTP50" s="159"/>
      <c r="DTQ50" s="159"/>
      <c r="DTR50" s="159"/>
      <c r="DTS50" s="159"/>
      <c r="DTT50" s="159"/>
      <c r="DTU50" s="159"/>
      <c r="DTV50" s="159"/>
      <c r="DTW50" s="159"/>
      <c r="DTX50" s="159"/>
      <c r="DTY50" s="159"/>
      <c r="DTZ50" s="159"/>
      <c r="DUA50" s="159"/>
      <c r="DUB50" s="159"/>
      <c r="DUC50" s="159"/>
      <c r="DUD50" s="159"/>
      <c r="DUE50" s="159"/>
      <c r="DUF50" s="159"/>
      <c r="DUG50" s="159"/>
      <c r="DUH50" s="159"/>
      <c r="DUI50" s="159"/>
      <c r="DUJ50" s="159"/>
      <c r="DUK50" s="159"/>
      <c r="DUL50" s="159"/>
      <c r="DUM50" s="159"/>
      <c r="DUN50" s="159"/>
      <c r="DUO50" s="159"/>
      <c r="DUP50" s="159"/>
      <c r="DUQ50" s="159"/>
      <c r="DUR50" s="159"/>
      <c r="DUS50" s="159"/>
      <c r="DUT50" s="159"/>
      <c r="DUU50" s="159"/>
      <c r="DUV50" s="159"/>
      <c r="DUW50" s="159"/>
      <c r="DUX50" s="159"/>
      <c r="DUY50" s="159"/>
      <c r="DUZ50" s="159"/>
      <c r="DVA50" s="159"/>
      <c r="DVB50" s="159"/>
      <c r="DVC50" s="159"/>
      <c r="DVD50" s="159"/>
      <c r="DVE50" s="159"/>
      <c r="DVF50" s="159"/>
      <c r="DVG50" s="159"/>
      <c r="DVH50" s="159"/>
      <c r="DVI50" s="159"/>
      <c r="DVJ50" s="159"/>
      <c r="DVK50" s="159"/>
      <c r="DVL50" s="159"/>
      <c r="DVM50" s="159"/>
      <c r="DVN50" s="159"/>
      <c r="DVO50" s="159"/>
      <c r="DVP50" s="159"/>
      <c r="DVQ50" s="159"/>
      <c r="DVR50" s="159"/>
      <c r="DVS50" s="159"/>
      <c r="DVT50" s="159"/>
      <c r="DVU50" s="159"/>
      <c r="DVV50" s="159"/>
      <c r="DVW50" s="159"/>
      <c r="DVX50" s="159"/>
      <c r="DVY50" s="159"/>
      <c r="DVZ50" s="159"/>
      <c r="DWA50" s="159"/>
      <c r="DWB50" s="159"/>
      <c r="DWC50" s="159"/>
      <c r="DWD50" s="159"/>
      <c r="DWE50" s="159"/>
      <c r="DWF50" s="159"/>
      <c r="DWG50" s="159"/>
      <c r="DWH50" s="159"/>
      <c r="DWI50" s="159"/>
      <c r="DWJ50" s="159"/>
      <c r="DWK50" s="159"/>
      <c r="DWL50" s="159"/>
      <c r="DWM50" s="159"/>
      <c r="DWN50" s="159"/>
      <c r="DWO50" s="159"/>
      <c r="DWP50" s="159"/>
      <c r="DWQ50" s="159"/>
      <c r="DWR50" s="159"/>
      <c r="DWS50" s="159"/>
      <c r="DWT50" s="159"/>
      <c r="DWU50" s="159"/>
      <c r="DWV50" s="159"/>
      <c r="DWW50" s="159"/>
      <c r="DWX50" s="159"/>
      <c r="DWY50" s="159"/>
      <c r="DWZ50" s="159"/>
      <c r="DXA50" s="159"/>
      <c r="DXB50" s="159"/>
      <c r="DXC50" s="159"/>
      <c r="DXD50" s="159"/>
      <c r="DXE50" s="159"/>
      <c r="DXF50" s="159"/>
      <c r="DXG50" s="159"/>
      <c r="DXH50" s="159"/>
      <c r="DXI50" s="159"/>
      <c r="DXJ50" s="159"/>
      <c r="DXK50" s="159"/>
      <c r="DXL50" s="159"/>
      <c r="DXM50" s="159"/>
      <c r="DXN50" s="159"/>
      <c r="DXO50" s="159"/>
      <c r="DXP50" s="159"/>
      <c r="DXQ50" s="159"/>
      <c r="DXR50" s="159"/>
      <c r="DXS50" s="159"/>
      <c r="DXT50" s="159"/>
      <c r="DXU50" s="159"/>
      <c r="DXV50" s="159"/>
      <c r="DXW50" s="159"/>
      <c r="DXX50" s="159"/>
      <c r="DXY50" s="159"/>
      <c r="DXZ50" s="159"/>
      <c r="DYA50" s="159"/>
      <c r="DYB50" s="159"/>
      <c r="DYC50" s="159"/>
      <c r="DYD50" s="159"/>
      <c r="DYE50" s="159"/>
      <c r="DYF50" s="159"/>
      <c r="DYG50" s="159"/>
      <c r="DYH50" s="159"/>
      <c r="DYI50" s="159"/>
      <c r="DYJ50" s="159"/>
      <c r="DYK50" s="159"/>
      <c r="DYL50" s="159"/>
      <c r="DYM50" s="159"/>
      <c r="DYN50" s="159"/>
      <c r="DYO50" s="159"/>
      <c r="DYP50" s="159"/>
      <c r="DYQ50" s="159"/>
      <c r="DYR50" s="159"/>
      <c r="DYS50" s="159"/>
      <c r="DYT50" s="159"/>
      <c r="DYU50" s="159"/>
      <c r="DYV50" s="159"/>
      <c r="DYW50" s="159"/>
      <c r="DYX50" s="159"/>
      <c r="DYY50" s="159"/>
      <c r="DYZ50" s="159"/>
      <c r="DZA50" s="159"/>
      <c r="DZB50" s="159"/>
      <c r="DZC50" s="159"/>
      <c r="DZD50" s="159"/>
      <c r="DZE50" s="159"/>
      <c r="DZF50" s="159"/>
      <c r="DZG50" s="159"/>
      <c r="DZH50" s="159"/>
      <c r="DZI50" s="159"/>
      <c r="DZJ50" s="159"/>
      <c r="DZK50" s="159"/>
      <c r="DZL50" s="159"/>
      <c r="DZM50" s="159"/>
      <c r="DZN50" s="159"/>
      <c r="DZO50" s="159"/>
      <c r="DZP50" s="159"/>
      <c r="DZQ50" s="159"/>
      <c r="DZR50" s="159"/>
      <c r="DZS50" s="159"/>
      <c r="DZT50" s="159"/>
      <c r="DZU50" s="159"/>
      <c r="DZV50" s="159"/>
      <c r="DZW50" s="159"/>
      <c r="DZX50" s="159"/>
      <c r="DZY50" s="159"/>
      <c r="DZZ50" s="159"/>
      <c r="EAA50" s="159"/>
      <c r="EAB50" s="159"/>
      <c r="EAC50" s="159"/>
      <c r="EAD50" s="159"/>
      <c r="EAE50" s="159"/>
      <c r="EAF50" s="159"/>
      <c r="EAG50" s="159"/>
      <c r="EAH50" s="159"/>
      <c r="EAI50" s="159"/>
      <c r="EAJ50" s="159"/>
      <c r="EAK50" s="159"/>
      <c r="EAL50" s="159"/>
      <c r="EAM50" s="159"/>
      <c r="EAN50" s="159"/>
      <c r="EAO50" s="159"/>
      <c r="EAP50" s="159"/>
      <c r="EAQ50" s="159"/>
      <c r="EAR50" s="159"/>
      <c r="EAS50" s="159"/>
      <c r="EAT50" s="159"/>
      <c r="EAU50" s="159"/>
      <c r="EAV50" s="159"/>
      <c r="EAW50" s="159"/>
      <c r="EAX50" s="159"/>
      <c r="EAY50" s="159"/>
      <c r="EAZ50" s="159"/>
      <c r="EBA50" s="159"/>
      <c r="EBB50" s="159"/>
      <c r="EBC50" s="159"/>
      <c r="EBD50" s="159"/>
      <c r="EBE50" s="159"/>
      <c r="EBF50" s="159"/>
      <c r="EBG50" s="159"/>
      <c r="EBH50" s="159"/>
      <c r="EBI50" s="159"/>
      <c r="EBJ50" s="159"/>
      <c r="EBK50" s="159"/>
      <c r="EBL50" s="159"/>
      <c r="EBM50" s="159"/>
      <c r="EBN50" s="159"/>
      <c r="EBO50" s="159"/>
      <c r="EBP50" s="159"/>
      <c r="EBQ50" s="159"/>
      <c r="EBR50" s="159"/>
      <c r="EBS50" s="159"/>
      <c r="EBT50" s="159"/>
      <c r="EBU50" s="159"/>
      <c r="EBV50" s="159"/>
      <c r="EBW50" s="159"/>
      <c r="EBX50" s="159"/>
      <c r="EBY50" s="159"/>
      <c r="EBZ50" s="159"/>
      <c r="ECA50" s="159"/>
      <c r="ECB50" s="159"/>
      <c r="ECC50" s="159"/>
      <c r="ECD50" s="159"/>
      <c r="ECE50" s="159"/>
      <c r="ECF50" s="159"/>
      <c r="ECG50" s="159"/>
      <c r="ECH50" s="159"/>
      <c r="ECI50" s="159"/>
      <c r="ECJ50" s="159"/>
      <c r="ECK50" s="159"/>
      <c r="ECL50" s="159"/>
      <c r="ECM50" s="159"/>
      <c r="ECN50" s="159"/>
      <c r="ECO50" s="159"/>
      <c r="ECP50" s="159"/>
      <c r="ECQ50" s="159"/>
      <c r="ECR50" s="159"/>
      <c r="ECS50" s="159"/>
      <c r="ECT50" s="159"/>
      <c r="ECU50" s="159"/>
      <c r="ECV50" s="159"/>
      <c r="ECW50" s="159"/>
      <c r="ECX50" s="159"/>
      <c r="ECY50" s="159"/>
      <c r="ECZ50" s="159"/>
      <c r="EDA50" s="159"/>
      <c r="EDB50" s="159"/>
      <c r="EDC50" s="159"/>
      <c r="EDD50" s="159"/>
      <c r="EDE50" s="159"/>
      <c r="EDF50" s="159"/>
      <c r="EDG50" s="159"/>
      <c r="EDH50" s="159"/>
      <c r="EDI50" s="159"/>
      <c r="EDJ50" s="159"/>
      <c r="EDK50" s="159"/>
      <c r="EDL50" s="159"/>
      <c r="EDM50" s="159"/>
      <c r="EDN50" s="159"/>
      <c r="EDO50" s="159"/>
      <c r="EDP50" s="159"/>
      <c r="EDQ50" s="159"/>
      <c r="EDR50" s="159"/>
      <c r="EDS50" s="159"/>
      <c r="EDT50" s="159"/>
      <c r="EDU50" s="159"/>
      <c r="EDV50" s="159"/>
      <c r="EDW50" s="159"/>
      <c r="EDX50" s="159"/>
      <c r="EDY50" s="159"/>
      <c r="EDZ50" s="159"/>
      <c r="EEA50" s="159"/>
      <c r="EEB50" s="159"/>
      <c r="EEC50" s="159"/>
      <c r="EED50" s="159"/>
      <c r="EEE50" s="159"/>
      <c r="EEF50" s="159"/>
      <c r="EEG50" s="159"/>
      <c r="EEH50" s="159"/>
      <c r="EEI50" s="159"/>
      <c r="EEJ50" s="159"/>
      <c r="EEK50" s="159"/>
      <c r="EEL50" s="159"/>
      <c r="EEM50" s="159"/>
      <c r="EEN50" s="159"/>
      <c r="EEO50" s="159"/>
      <c r="EEP50" s="159"/>
      <c r="EEQ50" s="159"/>
      <c r="EER50" s="159"/>
      <c r="EES50" s="159"/>
      <c r="EET50" s="159"/>
      <c r="EEU50" s="159"/>
      <c r="EEV50" s="159"/>
      <c r="EEW50" s="159"/>
      <c r="EEX50" s="159"/>
      <c r="EEY50" s="159"/>
      <c r="EEZ50" s="159"/>
      <c r="EFA50" s="159"/>
      <c r="EFB50" s="159"/>
      <c r="EFC50" s="159"/>
      <c r="EFD50" s="159"/>
      <c r="EFE50" s="159"/>
      <c r="EFF50" s="159"/>
      <c r="EFG50" s="159"/>
      <c r="EFH50" s="159"/>
      <c r="EFI50" s="159"/>
      <c r="EFJ50" s="159"/>
      <c r="EFK50" s="159"/>
      <c r="EFL50" s="159"/>
      <c r="EFM50" s="159"/>
      <c r="EFN50" s="159"/>
      <c r="EFO50" s="159"/>
      <c r="EFP50" s="159"/>
      <c r="EFQ50" s="159"/>
      <c r="EFR50" s="159"/>
      <c r="EFS50" s="159"/>
      <c r="EFT50" s="159"/>
      <c r="EFU50" s="159"/>
      <c r="EFV50" s="159"/>
      <c r="EFW50" s="159"/>
      <c r="EFX50" s="159"/>
      <c r="EFY50" s="159"/>
      <c r="EFZ50" s="159"/>
      <c r="EGA50" s="159"/>
      <c r="EGB50" s="159"/>
      <c r="EGC50" s="159"/>
      <c r="EGD50" s="159"/>
      <c r="EGE50" s="159"/>
      <c r="EGF50" s="159"/>
      <c r="EGG50" s="159"/>
      <c r="EGH50" s="159"/>
      <c r="EGI50" s="159"/>
      <c r="EGJ50" s="159"/>
      <c r="EGK50" s="159"/>
      <c r="EGL50" s="159"/>
      <c r="EGM50" s="159"/>
      <c r="EGN50" s="159"/>
      <c r="EGO50" s="159"/>
      <c r="EGP50" s="159"/>
      <c r="EGQ50" s="159"/>
      <c r="EGR50" s="159"/>
      <c r="EGS50" s="159"/>
      <c r="EGT50" s="159"/>
      <c r="EGU50" s="159"/>
      <c r="EGV50" s="159"/>
      <c r="EGW50" s="159"/>
      <c r="EGX50" s="159"/>
      <c r="EGY50" s="159"/>
      <c r="EGZ50" s="159"/>
      <c r="EHA50" s="159"/>
      <c r="EHB50" s="159"/>
      <c r="EHC50" s="159"/>
      <c r="EHD50" s="159"/>
      <c r="EHE50" s="159"/>
      <c r="EHF50" s="159"/>
      <c r="EHG50" s="159"/>
      <c r="EHH50" s="159"/>
      <c r="EHI50" s="159"/>
      <c r="EHJ50" s="159"/>
      <c r="EHK50" s="159"/>
      <c r="EHL50" s="159"/>
      <c r="EHM50" s="159"/>
      <c r="EHN50" s="159"/>
      <c r="EHO50" s="159"/>
      <c r="EHP50" s="159"/>
      <c r="EHQ50" s="159"/>
      <c r="EHR50" s="159"/>
      <c r="EHS50" s="159"/>
      <c r="EHT50" s="159"/>
      <c r="EHU50" s="159"/>
      <c r="EHV50" s="159"/>
      <c r="EHW50" s="159"/>
      <c r="EHX50" s="159"/>
      <c r="EHY50" s="159"/>
      <c r="EHZ50" s="159"/>
      <c r="EIA50" s="159"/>
      <c r="EIB50" s="159"/>
      <c r="EIC50" s="159"/>
      <c r="EID50" s="159"/>
      <c r="EIE50" s="159"/>
      <c r="EIF50" s="159"/>
      <c r="EIG50" s="159"/>
      <c r="EIH50" s="159"/>
      <c r="EII50" s="159"/>
      <c r="EIJ50" s="159"/>
      <c r="EIK50" s="159"/>
      <c r="EIL50" s="159"/>
      <c r="EIM50" s="159"/>
      <c r="EIN50" s="159"/>
      <c r="EIO50" s="159"/>
      <c r="EIP50" s="159"/>
      <c r="EIQ50" s="159"/>
      <c r="EIR50" s="159"/>
      <c r="EIS50" s="159"/>
      <c r="EIT50" s="159"/>
      <c r="EIU50" s="159"/>
      <c r="EIV50" s="159"/>
      <c r="EIW50" s="159"/>
      <c r="EIX50" s="159"/>
      <c r="EIY50" s="159"/>
      <c r="EIZ50" s="159"/>
      <c r="EJA50" s="159"/>
      <c r="EJB50" s="159"/>
      <c r="EJC50" s="159"/>
      <c r="EJD50" s="159"/>
      <c r="EJE50" s="159"/>
      <c r="EJF50" s="159"/>
      <c r="EJG50" s="159"/>
      <c r="EJH50" s="159"/>
      <c r="EJI50" s="159"/>
      <c r="EJJ50" s="159"/>
      <c r="EJK50" s="159"/>
      <c r="EJL50" s="159"/>
      <c r="EJM50" s="159"/>
      <c r="EJN50" s="159"/>
      <c r="EJO50" s="159"/>
      <c r="EJP50" s="159"/>
      <c r="EJQ50" s="159"/>
      <c r="EJR50" s="159"/>
      <c r="EJS50" s="159"/>
      <c r="EJT50" s="159"/>
      <c r="EJU50" s="159"/>
      <c r="EJV50" s="159"/>
      <c r="EJW50" s="159"/>
      <c r="EJX50" s="159"/>
      <c r="EJY50" s="159"/>
      <c r="EJZ50" s="159"/>
      <c r="EKA50" s="159"/>
      <c r="EKB50" s="159"/>
      <c r="EKC50" s="159"/>
      <c r="EKD50" s="159"/>
      <c r="EKE50" s="159"/>
      <c r="EKF50" s="159"/>
      <c r="EKG50" s="159"/>
      <c r="EKH50" s="159"/>
      <c r="EKI50" s="159"/>
      <c r="EKJ50" s="159"/>
      <c r="EKK50" s="159"/>
      <c r="EKL50" s="159"/>
      <c r="EKM50" s="159"/>
      <c r="EKN50" s="159"/>
      <c r="EKO50" s="159"/>
      <c r="EKP50" s="159"/>
      <c r="EKQ50" s="159"/>
      <c r="EKR50" s="159"/>
      <c r="EKS50" s="159"/>
      <c r="EKT50" s="159"/>
      <c r="EKU50" s="159"/>
      <c r="EKV50" s="159"/>
      <c r="EKW50" s="159"/>
      <c r="EKX50" s="159"/>
      <c r="EKY50" s="159"/>
      <c r="EKZ50" s="159"/>
      <c r="ELA50" s="159"/>
      <c r="ELB50" s="159"/>
      <c r="ELC50" s="159"/>
      <c r="ELD50" s="159"/>
      <c r="ELE50" s="159"/>
      <c r="ELF50" s="159"/>
      <c r="ELG50" s="159"/>
      <c r="ELH50" s="159"/>
      <c r="ELI50" s="159"/>
      <c r="ELJ50" s="159"/>
      <c r="ELK50" s="159"/>
      <c r="ELL50" s="159"/>
      <c r="ELM50" s="159"/>
      <c r="ELN50" s="159"/>
      <c r="ELO50" s="159"/>
      <c r="ELP50" s="159"/>
      <c r="ELQ50" s="159"/>
      <c r="ELR50" s="159"/>
      <c r="ELS50" s="159"/>
      <c r="ELT50" s="159"/>
      <c r="ELU50" s="159"/>
      <c r="ELV50" s="159"/>
      <c r="ELW50" s="159"/>
      <c r="ELX50" s="159"/>
      <c r="ELY50" s="159"/>
      <c r="ELZ50" s="159"/>
      <c r="EMA50" s="159"/>
      <c r="EMB50" s="159"/>
      <c r="EMC50" s="159"/>
      <c r="EMD50" s="159"/>
      <c r="EME50" s="159"/>
      <c r="EMF50" s="159"/>
      <c r="EMG50" s="159"/>
      <c r="EMH50" s="159"/>
      <c r="EMI50" s="159"/>
      <c r="EMJ50" s="159"/>
      <c r="EMK50" s="159"/>
      <c r="EML50" s="159"/>
      <c r="EMM50" s="159"/>
      <c r="EMN50" s="159"/>
      <c r="EMO50" s="159"/>
      <c r="EMP50" s="159"/>
      <c r="EMQ50" s="159"/>
      <c r="EMR50" s="159"/>
      <c r="EMS50" s="159"/>
      <c r="EMT50" s="159"/>
      <c r="EMU50" s="159"/>
      <c r="EMV50" s="159"/>
      <c r="EMW50" s="159"/>
      <c r="EMX50" s="159"/>
      <c r="EMY50" s="159"/>
      <c r="EMZ50" s="159"/>
      <c r="ENA50" s="159"/>
      <c r="ENB50" s="159"/>
      <c r="ENC50" s="159"/>
      <c r="END50" s="159"/>
      <c r="ENE50" s="159"/>
      <c r="ENF50" s="159"/>
      <c r="ENG50" s="159"/>
      <c r="ENH50" s="159"/>
      <c r="ENI50" s="159"/>
      <c r="ENJ50" s="159"/>
      <c r="ENK50" s="159"/>
      <c r="ENL50" s="159"/>
      <c r="ENM50" s="159"/>
      <c r="ENN50" s="159"/>
      <c r="ENO50" s="159"/>
      <c r="ENP50" s="159"/>
      <c r="ENQ50" s="159"/>
      <c r="ENR50" s="159"/>
      <c r="ENS50" s="159"/>
      <c r="ENT50" s="159"/>
      <c r="ENU50" s="159"/>
      <c r="ENV50" s="159"/>
      <c r="ENW50" s="159"/>
      <c r="ENX50" s="159"/>
      <c r="ENY50" s="159"/>
      <c r="ENZ50" s="159"/>
      <c r="EOA50" s="159"/>
      <c r="EOB50" s="159"/>
      <c r="EOC50" s="159"/>
      <c r="EOD50" s="159"/>
      <c r="EOE50" s="159"/>
      <c r="EOF50" s="159"/>
      <c r="EOG50" s="159"/>
      <c r="EOH50" s="159"/>
      <c r="EOI50" s="159"/>
      <c r="EOJ50" s="159"/>
      <c r="EOK50" s="159"/>
      <c r="EOL50" s="159"/>
      <c r="EOM50" s="159"/>
      <c r="EON50" s="159"/>
      <c r="EOO50" s="159"/>
      <c r="EOP50" s="159"/>
      <c r="EOQ50" s="159"/>
      <c r="EOR50" s="159"/>
      <c r="EOS50" s="159"/>
      <c r="EOT50" s="159"/>
      <c r="EOU50" s="159"/>
      <c r="EOV50" s="159"/>
      <c r="EOW50" s="159"/>
      <c r="EOX50" s="159"/>
      <c r="EOY50" s="159"/>
      <c r="EOZ50" s="159"/>
      <c r="EPA50" s="159"/>
      <c r="EPB50" s="159"/>
      <c r="EPC50" s="159"/>
      <c r="EPD50" s="159"/>
      <c r="EPE50" s="159"/>
      <c r="EPF50" s="159"/>
      <c r="EPG50" s="159"/>
      <c r="EPH50" s="159"/>
      <c r="EPI50" s="159"/>
      <c r="EPJ50" s="159"/>
      <c r="EPK50" s="159"/>
      <c r="EPL50" s="159"/>
      <c r="EPM50" s="159"/>
      <c r="EPN50" s="159"/>
      <c r="EPO50" s="159"/>
      <c r="EPP50" s="159"/>
      <c r="EPQ50" s="159"/>
      <c r="EPR50" s="159"/>
      <c r="EPS50" s="159"/>
      <c r="EPT50" s="159"/>
      <c r="EPU50" s="159"/>
      <c r="EPV50" s="159"/>
      <c r="EPW50" s="159"/>
      <c r="EPX50" s="159"/>
      <c r="EPY50" s="159"/>
      <c r="EPZ50" s="159"/>
      <c r="EQA50" s="159"/>
      <c r="EQB50" s="159"/>
      <c r="EQC50" s="159"/>
      <c r="EQD50" s="159"/>
      <c r="EQE50" s="159"/>
      <c r="EQF50" s="159"/>
      <c r="EQG50" s="159"/>
      <c r="EQH50" s="159"/>
      <c r="EQI50" s="159"/>
      <c r="EQJ50" s="159"/>
      <c r="EQK50" s="159"/>
      <c r="EQL50" s="159"/>
      <c r="EQM50" s="159"/>
      <c r="EQN50" s="159"/>
      <c r="EQO50" s="159"/>
      <c r="EQP50" s="159"/>
      <c r="EQQ50" s="159"/>
      <c r="EQR50" s="159"/>
      <c r="EQS50" s="159"/>
      <c r="EQT50" s="159"/>
      <c r="EQU50" s="159"/>
      <c r="EQV50" s="159"/>
      <c r="EQW50" s="159"/>
      <c r="EQX50" s="159"/>
      <c r="EQY50" s="159"/>
      <c r="EQZ50" s="159"/>
      <c r="ERA50" s="159"/>
      <c r="ERB50" s="159"/>
      <c r="ERC50" s="159"/>
      <c r="ERD50" s="159"/>
      <c r="ERE50" s="159"/>
      <c r="ERF50" s="159"/>
      <c r="ERG50" s="159"/>
      <c r="ERH50" s="159"/>
      <c r="ERI50" s="159"/>
      <c r="ERJ50" s="159"/>
      <c r="ERK50" s="159"/>
      <c r="ERL50" s="159"/>
      <c r="ERM50" s="159"/>
      <c r="ERN50" s="159"/>
      <c r="ERO50" s="159"/>
      <c r="ERP50" s="159"/>
      <c r="ERQ50" s="159"/>
      <c r="ERR50" s="159"/>
      <c r="ERS50" s="159"/>
      <c r="ERT50" s="159"/>
      <c r="ERU50" s="159"/>
      <c r="ERV50" s="159"/>
      <c r="ERW50" s="159"/>
      <c r="ERX50" s="159"/>
      <c r="ERY50" s="159"/>
      <c r="ERZ50" s="159"/>
      <c r="ESA50" s="159"/>
      <c r="ESB50" s="159"/>
      <c r="ESC50" s="159"/>
      <c r="ESD50" s="159"/>
      <c r="ESE50" s="159"/>
      <c r="ESF50" s="159"/>
      <c r="ESG50" s="159"/>
      <c r="ESH50" s="159"/>
      <c r="ESI50" s="159"/>
      <c r="ESJ50" s="159"/>
      <c r="ESK50" s="159"/>
      <c r="ESL50" s="159"/>
      <c r="ESM50" s="159"/>
      <c r="ESN50" s="159"/>
      <c r="ESO50" s="159"/>
      <c r="ESP50" s="159"/>
      <c r="ESQ50" s="159"/>
      <c r="ESR50" s="159"/>
      <c r="ESS50" s="159"/>
      <c r="EST50" s="159"/>
      <c r="ESU50" s="159"/>
      <c r="ESV50" s="159"/>
      <c r="ESW50" s="159"/>
      <c r="ESX50" s="159"/>
      <c r="ESY50" s="159"/>
      <c r="ESZ50" s="159"/>
      <c r="ETA50" s="159"/>
      <c r="ETB50" s="159"/>
      <c r="ETC50" s="159"/>
      <c r="ETD50" s="159"/>
      <c r="ETE50" s="159"/>
      <c r="ETF50" s="159"/>
      <c r="ETG50" s="159"/>
      <c r="ETH50" s="159"/>
      <c r="ETI50" s="159"/>
      <c r="ETJ50" s="159"/>
      <c r="ETK50" s="159"/>
      <c r="ETL50" s="159"/>
      <c r="ETM50" s="159"/>
      <c r="ETN50" s="159"/>
      <c r="ETO50" s="159"/>
      <c r="ETP50" s="159"/>
      <c r="ETQ50" s="159"/>
      <c r="ETR50" s="159"/>
      <c r="ETS50" s="159"/>
      <c r="ETT50" s="159"/>
      <c r="ETU50" s="159"/>
      <c r="ETV50" s="159"/>
      <c r="ETW50" s="159"/>
      <c r="ETX50" s="159"/>
      <c r="ETY50" s="159"/>
      <c r="ETZ50" s="159"/>
      <c r="EUA50" s="159"/>
      <c r="EUB50" s="159"/>
      <c r="EUC50" s="159"/>
      <c r="EUD50" s="159"/>
      <c r="EUE50" s="159"/>
      <c r="EUF50" s="159"/>
      <c r="EUG50" s="159"/>
      <c r="EUH50" s="159"/>
      <c r="EUI50" s="159"/>
      <c r="EUJ50" s="159"/>
      <c r="EUK50" s="159"/>
      <c r="EUL50" s="159"/>
      <c r="EUM50" s="159"/>
      <c r="EUN50" s="159"/>
      <c r="EUO50" s="159"/>
      <c r="EUP50" s="159"/>
      <c r="EUQ50" s="159"/>
      <c r="EUR50" s="159"/>
      <c r="EUS50" s="159"/>
      <c r="EUT50" s="159"/>
      <c r="EUU50" s="159"/>
      <c r="EUV50" s="159"/>
      <c r="EUW50" s="159"/>
      <c r="EUX50" s="159"/>
      <c r="EUY50" s="159"/>
      <c r="EUZ50" s="159"/>
      <c r="EVA50" s="159"/>
      <c r="EVB50" s="159"/>
      <c r="EVC50" s="159"/>
      <c r="EVD50" s="159"/>
      <c r="EVE50" s="159"/>
      <c r="EVF50" s="159"/>
      <c r="EVG50" s="159"/>
      <c r="EVH50" s="159"/>
      <c r="EVI50" s="159"/>
      <c r="EVJ50" s="159"/>
      <c r="EVK50" s="159"/>
      <c r="EVL50" s="159"/>
      <c r="EVM50" s="159"/>
      <c r="EVN50" s="159"/>
      <c r="EVO50" s="159"/>
      <c r="EVP50" s="159"/>
      <c r="EVQ50" s="159"/>
      <c r="EVR50" s="159"/>
      <c r="EVS50" s="159"/>
      <c r="EVT50" s="159"/>
      <c r="EVU50" s="159"/>
      <c r="EVV50" s="159"/>
      <c r="EVW50" s="159"/>
      <c r="EVX50" s="159"/>
      <c r="EVY50" s="159"/>
      <c r="EVZ50" s="159"/>
      <c r="EWA50" s="159"/>
      <c r="EWB50" s="159"/>
      <c r="EWC50" s="159"/>
      <c r="EWD50" s="159"/>
      <c r="EWE50" s="159"/>
      <c r="EWF50" s="159"/>
      <c r="EWG50" s="159"/>
      <c r="EWH50" s="159"/>
      <c r="EWI50" s="159"/>
      <c r="EWJ50" s="159"/>
      <c r="EWK50" s="159"/>
      <c r="EWL50" s="159"/>
      <c r="EWM50" s="159"/>
      <c r="EWN50" s="159"/>
      <c r="EWO50" s="159"/>
      <c r="EWP50" s="159"/>
      <c r="EWQ50" s="159"/>
      <c r="EWR50" s="159"/>
      <c r="EWS50" s="159"/>
      <c r="EWT50" s="159"/>
      <c r="EWU50" s="159"/>
      <c r="EWV50" s="159"/>
      <c r="EWW50" s="159"/>
      <c r="EWX50" s="159"/>
      <c r="EWY50" s="159"/>
      <c r="EWZ50" s="159"/>
      <c r="EXA50" s="159"/>
      <c r="EXB50" s="159"/>
      <c r="EXC50" s="159"/>
      <c r="EXD50" s="159"/>
      <c r="EXE50" s="159"/>
      <c r="EXF50" s="159"/>
      <c r="EXG50" s="159"/>
      <c r="EXH50" s="159"/>
      <c r="EXI50" s="159"/>
      <c r="EXJ50" s="159"/>
      <c r="EXK50" s="159"/>
      <c r="EXL50" s="159"/>
      <c r="EXM50" s="159"/>
      <c r="EXN50" s="159"/>
      <c r="EXO50" s="159"/>
      <c r="EXP50" s="159"/>
      <c r="EXQ50" s="159"/>
      <c r="EXR50" s="159"/>
      <c r="EXS50" s="159"/>
      <c r="EXT50" s="159"/>
      <c r="EXU50" s="159"/>
      <c r="EXV50" s="159"/>
      <c r="EXW50" s="159"/>
      <c r="EXX50" s="159"/>
      <c r="EXY50" s="159"/>
      <c r="EXZ50" s="159"/>
      <c r="EYA50" s="159"/>
      <c r="EYB50" s="159"/>
      <c r="EYC50" s="159"/>
      <c r="EYD50" s="159"/>
      <c r="EYE50" s="159"/>
      <c r="EYF50" s="159"/>
      <c r="EYG50" s="159"/>
      <c r="EYH50" s="159"/>
      <c r="EYI50" s="159"/>
      <c r="EYJ50" s="159"/>
      <c r="EYK50" s="159"/>
      <c r="EYL50" s="159"/>
      <c r="EYM50" s="159"/>
      <c r="EYN50" s="159"/>
      <c r="EYO50" s="159"/>
      <c r="EYP50" s="159"/>
      <c r="EYQ50" s="159"/>
      <c r="EYR50" s="159"/>
      <c r="EYS50" s="159"/>
      <c r="EYT50" s="159"/>
      <c r="EYU50" s="159"/>
      <c r="EYV50" s="159"/>
      <c r="EYW50" s="159"/>
      <c r="EYX50" s="159"/>
      <c r="EYY50" s="159"/>
      <c r="EYZ50" s="159"/>
      <c r="EZA50" s="159"/>
      <c r="EZB50" s="159"/>
      <c r="EZC50" s="159"/>
      <c r="EZD50" s="159"/>
      <c r="EZE50" s="159"/>
      <c r="EZF50" s="159"/>
      <c r="EZG50" s="159"/>
      <c r="EZH50" s="159"/>
      <c r="EZI50" s="159"/>
      <c r="EZJ50" s="159"/>
      <c r="EZK50" s="159"/>
      <c r="EZL50" s="159"/>
      <c r="EZM50" s="159"/>
      <c r="EZN50" s="159"/>
      <c r="EZO50" s="159"/>
      <c r="EZP50" s="159"/>
      <c r="EZQ50" s="159"/>
      <c r="EZR50" s="159"/>
      <c r="EZS50" s="159"/>
      <c r="EZT50" s="159"/>
      <c r="EZU50" s="159"/>
      <c r="EZV50" s="159"/>
      <c r="EZW50" s="159"/>
      <c r="EZX50" s="159"/>
      <c r="EZY50" s="159"/>
      <c r="EZZ50" s="159"/>
      <c r="FAA50" s="159"/>
      <c r="FAB50" s="159"/>
      <c r="FAC50" s="159"/>
      <c r="FAD50" s="159"/>
      <c r="FAE50" s="159"/>
      <c r="FAF50" s="159"/>
      <c r="FAG50" s="159"/>
      <c r="FAH50" s="159"/>
      <c r="FAI50" s="159"/>
      <c r="FAJ50" s="159"/>
      <c r="FAK50" s="159"/>
      <c r="FAL50" s="159"/>
      <c r="FAM50" s="159"/>
      <c r="FAN50" s="159"/>
      <c r="FAO50" s="159"/>
      <c r="FAP50" s="159"/>
      <c r="FAQ50" s="159"/>
      <c r="FAR50" s="159"/>
      <c r="FAS50" s="159"/>
      <c r="FAT50" s="159"/>
      <c r="FAU50" s="159"/>
      <c r="FAV50" s="159"/>
      <c r="FAW50" s="159"/>
      <c r="FAX50" s="159"/>
      <c r="FAY50" s="159"/>
      <c r="FAZ50" s="159"/>
      <c r="FBA50" s="159"/>
      <c r="FBB50" s="159"/>
      <c r="FBC50" s="159"/>
      <c r="FBD50" s="159"/>
      <c r="FBE50" s="159"/>
      <c r="FBF50" s="159"/>
      <c r="FBG50" s="159"/>
      <c r="FBH50" s="159"/>
      <c r="FBI50" s="159"/>
      <c r="FBJ50" s="159"/>
      <c r="FBK50" s="159"/>
      <c r="FBL50" s="159"/>
      <c r="FBM50" s="159"/>
      <c r="FBN50" s="159"/>
      <c r="FBO50" s="159"/>
      <c r="FBP50" s="159"/>
      <c r="FBQ50" s="159"/>
      <c r="FBR50" s="159"/>
      <c r="FBS50" s="159"/>
      <c r="FBT50" s="159"/>
      <c r="FBU50" s="159"/>
      <c r="FBV50" s="159"/>
      <c r="FBW50" s="159"/>
      <c r="FBX50" s="159"/>
      <c r="FBY50" s="159"/>
      <c r="FBZ50" s="159"/>
      <c r="FCA50" s="159"/>
      <c r="FCB50" s="159"/>
      <c r="FCC50" s="159"/>
      <c r="FCD50" s="159"/>
      <c r="FCE50" s="159"/>
      <c r="FCF50" s="159"/>
      <c r="FCG50" s="159"/>
      <c r="FCH50" s="159"/>
      <c r="FCI50" s="159"/>
      <c r="FCJ50" s="159"/>
      <c r="FCK50" s="159"/>
      <c r="FCL50" s="159"/>
      <c r="FCM50" s="159"/>
      <c r="FCN50" s="159"/>
      <c r="FCO50" s="159"/>
      <c r="FCP50" s="159"/>
      <c r="FCQ50" s="159"/>
      <c r="FCR50" s="159"/>
      <c r="FCS50" s="159"/>
      <c r="FCT50" s="159"/>
      <c r="FCU50" s="159"/>
      <c r="FCV50" s="159"/>
      <c r="FCW50" s="159"/>
      <c r="FCX50" s="159"/>
      <c r="FCY50" s="159"/>
      <c r="FCZ50" s="159"/>
      <c r="FDA50" s="159"/>
      <c r="FDB50" s="159"/>
      <c r="FDC50" s="159"/>
      <c r="FDD50" s="159"/>
      <c r="FDE50" s="159"/>
      <c r="FDF50" s="159"/>
      <c r="FDG50" s="159"/>
      <c r="FDH50" s="159"/>
      <c r="FDI50" s="159"/>
      <c r="FDJ50" s="159"/>
      <c r="FDK50" s="159"/>
      <c r="FDL50" s="159"/>
      <c r="FDM50" s="159"/>
      <c r="FDN50" s="159"/>
      <c r="FDO50" s="159"/>
      <c r="FDP50" s="159"/>
      <c r="FDQ50" s="159"/>
      <c r="FDR50" s="159"/>
      <c r="FDS50" s="159"/>
      <c r="FDT50" s="159"/>
      <c r="FDU50" s="159"/>
      <c r="FDV50" s="159"/>
      <c r="FDW50" s="159"/>
      <c r="FDX50" s="159"/>
      <c r="FDY50" s="159"/>
      <c r="FDZ50" s="159"/>
      <c r="FEA50" s="159"/>
      <c r="FEB50" s="159"/>
      <c r="FEC50" s="159"/>
      <c r="FED50" s="159"/>
      <c r="FEE50" s="159"/>
      <c r="FEF50" s="159"/>
      <c r="FEG50" s="159"/>
      <c r="FEH50" s="159"/>
      <c r="FEI50" s="159"/>
      <c r="FEJ50" s="159"/>
      <c r="FEK50" s="159"/>
      <c r="FEL50" s="159"/>
      <c r="FEM50" s="159"/>
      <c r="FEN50" s="159"/>
      <c r="FEO50" s="159"/>
      <c r="FEP50" s="159"/>
      <c r="FEQ50" s="159"/>
      <c r="FER50" s="159"/>
      <c r="FES50" s="159"/>
      <c r="FET50" s="159"/>
      <c r="FEU50" s="159"/>
      <c r="FEV50" s="159"/>
      <c r="FEW50" s="159"/>
      <c r="FEX50" s="159"/>
      <c r="FEY50" s="159"/>
      <c r="FEZ50" s="159"/>
      <c r="FFA50" s="159"/>
      <c r="FFB50" s="159"/>
      <c r="FFC50" s="159"/>
      <c r="FFD50" s="159"/>
      <c r="FFE50" s="159"/>
      <c r="FFF50" s="159"/>
      <c r="FFG50" s="159"/>
      <c r="FFH50" s="159"/>
      <c r="FFI50" s="159"/>
      <c r="FFJ50" s="159"/>
      <c r="FFK50" s="159"/>
      <c r="FFL50" s="159"/>
      <c r="FFM50" s="159"/>
      <c r="FFN50" s="159"/>
      <c r="FFO50" s="159"/>
      <c r="FFP50" s="159"/>
      <c r="FFQ50" s="159"/>
      <c r="FFR50" s="159"/>
      <c r="FFS50" s="159"/>
      <c r="FFT50" s="159"/>
      <c r="FFU50" s="159"/>
      <c r="FFV50" s="159"/>
      <c r="FFW50" s="159"/>
      <c r="FFX50" s="159"/>
      <c r="FFY50" s="159"/>
      <c r="FFZ50" s="159"/>
      <c r="FGA50" s="159"/>
      <c r="FGB50" s="159"/>
      <c r="FGC50" s="159"/>
      <c r="FGD50" s="159"/>
      <c r="FGE50" s="159"/>
      <c r="FGF50" s="159"/>
      <c r="FGG50" s="159"/>
      <c r="FGH50" s="159"/>
      <c r="FGI50" s="159"/>
      <c r="FGJ50" s="159"/>
      <c r="FGK50" s="159"/>
      <c r="FGL50" s="159"/>
      <c r="FGM50" s="159"/>
      <c r="FGN50" s="159"/>
      <c r="FGO50" s="159"/>
      <c r="FGP50" s="159"/>
      <c r="FGQ50" s="159"/>
      <c r="FGR50" s="159"/>
      <c r="FGS50" s="159"/>
      <c r="FGT50" s="159"/>
      <c r="FGU50" s="159"/>
      <c r="FGV50" s="159"/>
      <c r="FGW50" s="159"/>
      <c r="FGX50" s="159"/>
      <c r="FGY50" s="159"/>
      <c r="FGZ50" s="159"/>
      <c r="FHA50" s="159"/>
      <c r="FHB50" s="159"/>
      <c r="FHC50" s="159"/>
      <c r="FHD50" s="159"/>
      <c r="FHE50" s="159"/>
      <c r="FHF50" s="159"/>
      <c r="FHG50" s="159"/>
      <c r="FHH50" s="159"/>
      <c r="FHI50" s="159"/>
      <c r="FHJ50" s="159"/>
      <c r="FHK50" s="159"/>
      <c r="FHL50" s="159"/>
      <c r="FHM50" s="159"/>
      <c r="FHN50" s="159"/>
      <c r="FHO50" s="159"/>
      <c r="FHP50" s="159"/>
      <c r="FHQ50" s="159"/>
      <c r="FHR50" s="159"/>
      <c r="FHS50" s="159"/>
      <c r="FHT50" s="159"/>
      <c r="FHU50" s="159"/>
      <c r="FHV50" s="159"/>
      <c r="FHW50" s="159"/>
      <c r="FHX50" s="159"/>
      <c r="FHY50" s="159"/>
      <c r="FHZ50" s="159"/>
      <c r="FIA50" s="159"/>
      <c r="FIB50" s="159"/>
      <c r="FIC50" s="159"/>
      <c r="FID50" s="159"/>
      <c r="FIE50" s="159"/>
      <c r="FIF50" s="159"/>
      <c r="FIG50" s="159"/>
      <c r="FIH50" s="159"/>
      <c r="FII50" s="159"/>
      <c r="FIJ50" s="159"/>
      <c r="FIK50" s="159"/>
      <c r="FIL50" s="159"/>
      <c r="FIM50" s="159"/>
      <c r="FIN50" s="159"/>
      <c r="FIO50" s="159"/>
      <c r="FIP50" s="159"/>
      <c r="FIQ50" s="159"/>
      <c r="FIR50" s="159"/>
      <c r="FIS50" s="159"/>
      <c r="FIT50" s="159"/>
      <c r="FIU50" s="159"/>
      <c r="FIV50" s="159"/>
      <c r="FIW50" s="159"/>
      <c r="FIX50" s="159"/>
      <c r="FIY50" s="159"/>
      <c r="FIZ50" s="159"/>
      <c r="FJA50" s="159"/>
      <c r="FJB50" s="159"/>
      <c r="FJC50" s="159"/>
      <c r="FJD50" s="159"/>
      <c r="FJE50" s="159"/>
      <c r="FJF50" s="159"/>
      <c r="FJG50" s="159"/>
      <c r="FJH50" s="159"/>
      <c r="FJI50" s="159"/>
      <c r="FJJ50" s="159"/>
      <c r="FJK50" s="159"/>
      <c r="FJL50" s="159"/>
      <c r="FJM50" s="159"/>
      <c r="FJN50" s="159"/>
      <c r="FJO50" s="159"/>
      <c r="FJP50" s="159"/>
      <c r="FJQ50" s="159"/>
      <c r="FJR50" s="159"/>
      <c r="FJS50" s="159"/>
      <c r="FJT50" s="159"/>
      <c r="FJU50" s="159"/>
      <c r="FJV50" s="159"/>
      <c r="FJW50" s="159"/>
      <c r="FJX50" s="159"/>
      <c r="FJY50" s="159"/>
      <c r="FJZ50" s="159"/>
      <c r="FKA50" s="159"/>
      <c r="FKB50" s="159"/>
      <c r="FKC50" s="159"/>
      <c r="FKD50" s="159"/>
      <c r="FKE50" s="159"/>
      <c r="FKF50" s="159"/>
      <c r="FKG50" s="159"/>
      <c r="FKH50" s="159"/>
      <c r="FKI50" s="159"/>
      <c r="FKJ50" s="159"/>
      <c r="FKK50" s="159"/>
      <c r="FKL50" s="159"/>
      <c r="FKM50" s="159"/>
      <c r="FKN50" s="159"/>
      <c r="FKO50" s="159"/>
      <c r="FKP50" s="159"/>
      <c r="FKQ50" s="159"/>
      <c r="FKR50" s="159"/>
      <c r="FKS50" s="159"/>
      <c r="FKT50" s="159"/>
      <c r="FKU50" s="159"/>
      <c r="FKV50" s="159"/>
      <c r="FKW50" s="159"/>
      <c r="FKX50" s="159"/>
      <c r="FKY50" s="159"/>
      <c r="FKZ50" s="159"/>
      <c r="FLA50" s="159"/>
      <c r="FLB50" s="159"/>
      <c r="FLC50" s="159"/>
      <c r="FLD50" s="159"/>
      <c r="FLE50" s="159"/>
      <c r="FLF50" s="159"/>
      <c r="FLG50" s="159"/>
      <c r="FLH50" s="159"/>
      <c r="FLI50" s="159"/>
      <c r="FLJ50" s="159"/>
      <c r="FLK50" s="159"/>
      <c r="FLL50" s="159"/>
      <c r="FLM50" s="159"/>
      <c r="FLN50" s="159"/>
      <c r="FLO50" s="159"/>
      <c r="FLP50" s="159"/>
      <c r="FLQ50" s="159"/>
      <c r="FLR50" s="159"/>
      <c r="FLS50" s="159"/>
      <c r="FLT50" s="159"/>
      <c r="FLU50" s="159"/>
      <c r="FLV50" s="159"/>
      <c r="FLW50" s="159"/>
      <c r="FLX50" s="159"/>
      <c r="FLY50" s="159"/>
      <c r="FLZ50" s="159"/>
      <c r="FMA50" s="159"/>
      <c r="FMB50" s="159"/>
      <c r="FMC50" s="159"/>
      <c r="FMD50" s="159"/>
      <c r="FME50" s="159"/>
      <c r="FMF50" s="159"/>
      <c r="FMG50" s="159"/>
      <c r="FMH50" s="159"/>
      <c r="FMI50" s="159"/>
      <c r="FMJ50" s="159"/>
      <c r="FMK50" s="159"/>
      <c r="FML50" s="159"/>
      <c r="FMM50" s="159"/>
      <c r="FMN50" s="159"/>
      <c r="FMO50" s="159"/>
      <c r="FMP50" s="159"/>
      <c r="FMQ50" s="159"/>
      <c r="FMR50" s="159"/>
      <c r="FMS50" s="159"/>
      <c r="FMT50" s="159"/>
      <c r="FMU50" s="159"/>
      <c r="FMV50" s="159"/>
      <c r="FMW50" s="159"/>
      <c r="FMX50" s="159"/>
      <c r="FMY50" s="159"/>
      <c r="FMZ50" s="159"/>
      <c r="FNA50" s="159"/>
      <c r="FNB50" s="159"/>
      <c r="FNC50" s="159"/>
      <c r="FND50" s="159"/>
      <c r="FNE50" s="159"/>
      <c r="FNF50" s="159"/>
      <c r="FNG50" s="159"/>
      <c r="FNH50" s="159"/>
      <c r="FNI50" s="159"/>
      <c r="FNJ50" s="159"/>
      <c r="FNK50" s="159"/>
      <c r="FNL50" s="159"/>
      <c r="FNM50" s="159"/>
      <c r="FNN50" s="159"/>
      <c r="FNO50" s="159"/>
      <c r="FNP50" s="159"/>
      <c r="FNQ50" s="159"/>
      <c r="FNR50" s="159"/>
      <c r="FNS50" s="159"/>
      <c r="FNT50" s="159"/>
      <c r="FNU50" s="159"/>
      <c r="FNV50" s="159"/>
      <c r="FNW50" s="159"/>
      <c r="FNX50" s="159"/>
      <c r="FNY50" s="159"/>
      <c r="FNZ50" s="159"/>
      <c r="FOA50" s="159"/>
      <c r="FOB50" s="159"/>
      <c r="FOC50" s="159"/>
      <c r="FOD50" s="159"/>
      <c r="FOE50" s="159"/>
      <c r="FOF50" s="159"/>
      <c r="FOG50" s="159"/>
      <c r="FOH50" s="159"/>
      <c r="FOI50" s="159"/>
      <c r="FOJ50" s="159"/>
      <c r="FOK50" s="159"/>
      <c r="FOL50" s="159"/>
      <c r="FOM50" s="159"/>
      <c r="FON50" s="159"/>
      <c r="FOO50" s="159"/>
      <c r="FOP50" s="159"/>
      <c r="FOQ50" s="159"/>
      <c r="FOR50" s="159"/>
      <c r="FOS50" s="159"/>
      <c r="FOT50" s="159"/>
      <c r="FOU50" s="159"/>
      <c r="FOV50" s="159"/>
      <c r="FOW50" s="159"/>
      <c r="FOX50" s="159"/>
      <c r="FOY50" s="159"/>
      <c r="FOZ50" s="159"/>
      <c r="FPA50" s="159"/>
      <c r="FPB50" s="159"/>
      <c r="FPC50" s="159"/>
      <c r="FPD50" s="159"/>
      <c r="FPE50" s="159"/>
      <c r="FPF50" s="159"/>
      <c r="FPG50" s="159"/>
      <c r="FPH50" s="159"/>
      <c r="FPI50" s="159"/>
      <c r="FPJ50" s="159"/>
      <c r="FPK50" s="159"/>
      <c r="FPL50" s="159"/>
      <c r="FPM50" s="159"/>
      <c r="FPN50" s="159"/>
      <c r="FPO50" s="159"/>
      <c r="FPP50" s="159"/>
      <c r="FPQ50" s="159"/>
      <c r="FPR50" s="159"/>
      <c r="FPS50" s="159"/>
      <c r="FPT50" s="159"/>
      <c r="FPU50" s="159"/>
      <c r="FPV50" s="159"/>
      <c r="FPW50" s="159"/>
      <c r="FPX50" s="159"/>
      <c r="FPY50" s="159"/>
      <c r="FPZ50" s="159"/>
      <c r="FQA50" s="159"/>
      <c r="FQB50" s="159"/>
      <c r="FQC50" s="159"/>
      <c r="FQD50" s="159"/>
      <c r="FQE50" s="159"/>
      <c r="FQF50" s="159"/>
      <c r="FQG50" s="159"/>
      <c r="FQH50" s="159"/>
      <c r="FQI50" s="159"/>
      <c r="FQJ50" s="159"/>
      <c r="FQK50" s="159"/>
      <c r="FQL50" s="159"/>
      <c r="FQM50" s="159"/>
      <c r="FQN50" s="159"/>
      <c r="FQO50" s="159"/>
      <c r="FQP50" s="159"/>
      <c r="FQQ50" s="159"/>
      <c r="FQR50" s="159"/>
      <c r="FQS50" s="159"/>
      <c r="FQT50" s="159"/>
      <c r="FQU50" s="159"/>
      <c r="FQV50" s="159"/>
      <c r="FQW50" s="159"/>
      <c r="FQX50" s="159"/>
      <c r="FQY50" s="159"/>
      <c r="FQZ50" s="159"/>
      <c r="FRA50" s="159"/>
      <c r="FRB50" s="159"/>
      <c r="FRC50" s="159"/>
      <c r="FRD50" s="159"/>
      <c r="FRE50" s="159"/>
      <c r="FRF50" s="159"/>
      <c r="FRG50" s="159"/>
      <c r="FRH50" s="159"/>
      <c r="FRI50" s="159"/>
      <c r="FRJ50" s="159"/>
      <c r="FRK50" s="159"/>
      <c r="FRL50" s="159"/>
      <c r="FRM50" s="159"/>
      <c r="FRN50" s="159"/>
      <c r="FRO50" s="159"/>
      <c r="FRP50" s="159"/>
      <c r="FRQ50" s="159"/>
      <c r="FRR50" s="159"/>
      <c r="FRS50" s="159"/>
      <c r="FRT50" s="159"/>
      <c r="FRU50" s="159"/>
      <c r="FRV50" s="159"/>
      <c r="FRW50" s="159"/>
      <c r="FRX50" s="159"/>
      <c r="FRY50" s="159"/>
      <c r="FRZ50" s="159"/>
      <c r="FSA50" s="159"/>
      <c r="FSB50" s="159"/>
      <c r="FSC50" s="159"/>
      <c r="FSD50" s="159"/>
      <c r="FSE50" s="159"/>
      <c r="FSF50" s="159"/>
      <c r="FSG50" s="159"/>
      <c r="FSH50" s="159"/>
      <c r="FSI50" s="159"/>
      <c r="FSJ50" s="159"/>
      <c r="FSK50" s="159"/>
      <c r="FSL50" s="159"/>
      <c r="FSM50" s="159"/>
      <c r="FSN50" s="159"/>
      <c r="FSO50" s="159"/>
      <c r="FSP50" s="159"/>
      <c r="FSQ50" s="159"/>
      <c r="FSR50" s="159"/>
      <c r="FSS50" s="159"/>
      <c r="FST50" s="159"/>
      <c r="FSU50" s="159"/>
      <c r="FSV50" s="159"/>
      <c r="FSW50" s="159"/>
      <c r="FSX50" s="159"/>
      <c r="FSY50" s="159"/>
      <c r="FSZ50" s="159"/>
      <c r="FTA50" s="159"/>
      <c r="FTB50" s="159"/>
      <c r="FTC50" s="159"/>
      <c r="FTD50" s="159"/>
      <c r="FTE50" s="159"/>
      <c r="FTF50" s="159"/>
      <c r="FTG50" s="159"/>
      <c r="FTH50" s="159"/>
      <c r="FTI50" s="159"/>
      <c r="FTJ50" s="159"/>
      <c r="FTK50" s="159"/>
      <c r="FTL50" s="159"/>
      <c r="FTM50" s="159"/>
      <c r="FTN50" s="159"/>
      <c r="FTO50" s="159"/>
      <c r="FTP50" s="159"/>
      <c r="FTQ50" s="159"/>
      <c r="FTR50" s="159"/>
      <c r="FTS50" s="159"/>
      <c r="FTT50" s="159"/>
      <c r="FTU50" s="159"/>
      <c r="FTV50" s="159"/>
      <c r="FTW50" s="159"/>
      <c r="FTX50" s="159"/>
      <c r="FTY50" s="159"/>
      <c r="FTZ50" s="159"/>
      <c r="FUA50" s="159"/>
      <c r="FUB50" s="159"/>
      <c r="FUC50" s="159"/>
      <c r="FUD50" s="159"/>
      <c r="FUE50" s="159"/>
      <c r="FUF50" s="159"/>
      <c r="FUG50" s="159"/>
      <c r="FUH50" s="159"/>
      <c r="FUI50" s="159"/>
      <c r="FUJ50" s="159"/>
      <c r="FUK50" s="159"/>
      <c r="FUL50" s="159"/>
      <c r="FUM50" s="159"/>
      <c r="FUN50" s="159"/>
      <c r="FUO50" s="159"/>
      <c r="FUP50" s="159"/>
      <c r="FUQ50" s="159"/>
      <c r="FUR50" s="159"/>
      <c r="FUS50" s="159"/>
      <c r="FUT50" s="159"/>
      <c r="FUU50" s="159"/>
      <c r="FUV50" s="159"/>
      <c r="FUW50" s="159"/>
      <c r="FUX50" s="159"/>
      <c r="FUY50" s="159"/>
      <c r="FUZ50" s="159"/>
      <c r="FVA50" s="159"/>
      <c r="FVB50" s="159"/>
      <c r="FVC50" s="159"/>
      <c r="FVD50" s="159"/>
      <c r="FVE50" s="159"/>
      <c r="FVF50" s="159"/>
      <c r="FVG50" s="159"/>
      <c r="FVH50" s="159"/>
      <c r="FVI50" s="159"/>
      <c r="FVJ50" s="159"/>
      <c r="FVK50" s="159"/>
      <c r="FVL50" s="159"/>
      <c r="FVM50" s="159"/>
      <c r="FVN50" s="159"/>
      <c r="FVO50" s="159"/>
      <c r="FVP50" s="159"/>
      <c r="FVQ50" s="159"/>
      <c r="FVR50" s="159"/>
      <c r="FVS50" s="159"/>
      <c r="FVT50" s="159"/>
      <c r="FVU50" s="159"/>
      <c r="FVV50" s="159"/>
      <c r="FVW50" s="159"/>
      <c r="FVX50" s="159"/>
      <c r="FVY50" s="159"/>
      <c r="FVZ50" s="159"/>
      <c r="FWA50" s="159"/>
      <c r="FWB50" s="159"/>
      <c r="FWC50" s="159"/>
      <c r="FWD50" s="159"/>
      <c r="FWE50" s="159"/>
      <c r="FWF50" s="159"/>
      <c r="FWG50" s="159"/>
      <c r="FWH50" s="159"/>
      <c r="FWI50" s="159"/>
      <c r="FWJ50" s="159"/>
      <c r="FWK50" s="159"/>
      <c r="FWL50" s="159"/>
      <c r="FWM50" s="159"/>
      <c r="FWN50" s="159"/>
      <c r="FWO50" s="159"/>
      <c r="FWP50" s="159"/>
      <c r="FWQ50" s="159"/>
      <c r="FWR50" s="159"/>
      <c r="FWS50" s="159"/>
      <c r="FWT50" s="159"/>
      <c r="FWU50" s="159"/>
      <c r="FWV50" s="159"/>
      <c r="FWW50" s="159"/>
      <c r="FWX50" s="159"/>
      <c r="FWY50" s="159"/>
      <c r="FWZ50" s="159"/>
      <c r="FXA50" s="159"/>
      <c r="FXB50" s="159"/>
      <c r="FXC50" s="159"/>
      <c r="FXD50" s="159"/>
      <c r="FXE50" s="159"/>
      <c r="FXF50" s="159"/>
      <c r="FXG50" s="159"/>
      <c r="FXH50" s="159"/>
      <c r="FXI50" s="159"/>
      <c r="FXJ50" s="159"/>
      <c r="FXK50" s="159"/>
      <c r="FXL50" s="159"/>
      <c r="FXM50" s="159"/>
      <c r="FXN50" s="159"/>
      <c r="FXO50" s="159"/>
      <c r="FXP50" s="159"/>
      <c r="FXQ50" s="159"/>
      <c r="FXR50" s="159"/>
      <c r="FXS50" s="159"/>
      <c r="FXT50" s="159"/>
      <c r="FXU50" s="159"/>
      <c r="FXV50" s="159"/>
      <c r="FXW50" s="159"/>
      <c r="FXX50" s="159"/>
      <c r="FXY50" s="159"/>
      <c r="FXZ50" s="159"/>
      <c r="FYA50" s="159"/>
      <c r="FYB50" s="159"/>
      <c r="FYC50" s="159"/>
      <c r="FYD50" s="159"/>
      <c r="FYE50" s="159"/>
      <c r="FYF50" s="159"/>
      <c r="FYG50" s="159"/>
      <c r="FYH50" s="159"/>
      <c r="FYI50" s="159"/>
      <c r="FYJ50" s="159"/>
      <c r="FYK50" s="159"/>
      <c r="FYL50" s="159"/>
      <c r="FYM50" s="159"/>
      <c r="FYN50" s="159"/>
      <c r="FYO50" s="159"/>
      <c r="FYP50" s="159"/>
      <c r="FYQ50" s="159"/>
      <c r="FYR50" s="159"/>
      <c r="FYS50" s="159"/>
      <c r="FYT50" s="159"/>
      <c r="FYU50" s="159"/>
      <c r="FYV50" s="159"/>
      <c r="FYW50" s="159"/>
      <c r="FYX50" s="159"/>
      <c r="FYY50" s="159"/>
      <c r="FYZ50" s="159"/>
      <c r="FZA50" s="159"/>
      <c r="FZB50" s="159"/>
      <c r="FZC50" s="159"/>
      <c r="FZD50" s="159"/>
      <c r="FZE50" s="159"/>
      <c r="FZF50" s="159"/>
      <c r="FZG50" s="159"/>
      <c r="FZH50" s="159"/>
      <c r="FZI50" s="159"/>
      <c r="FZJ50" s="159"/>
      <c r="FZK50" s="159"/>
      <c r="FZL50" s="159"/>
      <c r="FZM50" s="159"/>
      <c r="FZN50" s="159"/>
      <c r="FZO50" s="159"/>
      <c r="FZP50" s="159"/>
      <c r="FZQ50" s="159"/>
      <c r="FZR50" s="159"/>
      <c r="FZS50" s="159"/>
      <c r="FZT50" s="159"/>
      <c r="FZU50" s="159"/>
      <c r="FZV50" s="159"/>
      <c r="FZW50" s="159"/>
      <c r="FZX50" s="159"/>
      <c r="FZY50" s="159"/>
      <c r="FZZ50" s="159"/>
      <c r="GAA50" s="159"/>
      <c r="GAB50" s="159"/>
      <c r="GAC50" s="159"/>
      <c r="GAD50" s="159"/>
      <c r="GAE50" s="159"/>
      <c r="GAF50" s="159"/>
      <c r="GAG50" s="159"/>
      <c r="GAH50" s="159"/>
      <c r="GAI50" s="159"/>
      <c r="GAJ50" s="159"/>
      <c r="GAK50" s="159"/>
      <c r="GAL50" s="159"/>
      <c r="GAM50" s="159"/>
      <c r="GAN50" s="159"/>
      <c r="GAO50" s="159"/>
      <c r="GAP50" s="159"/>
      <c r="GAQ50" s="159"/>
      <c r="GAR50" s="159"/>
      <c r="GAS50" s="159"/>
      <c r="GAT50" s="159"/>
      <c r="GAU50" s="159"/>
      <c r="GAV50" s="159"/>
      <c r="GAW50" s="159"/>
      <c r="GAX50" s="159"/>
      <c r="GAY50" s="159"/>
      <c r="GAZ50" s="159"/>
      <c r="GBA50" s="159"/>
      <c r="GBB50" s="159"/>
      <c r="GBC50" s="159"/>
      <c r="GBD50" s="159"/>
      <c r="GBE50" s="159"/>
      <c r="GBF50" s="159"/>
      <c r="GBG50" s="159"/>
      <c r="GBH50" s="159"/>
      <c r="GBI50" s="159"/>
      <c r="GBJ50" s="159"/>
      <c r="GBK50" s="159"/>
      <c r="GBL50" s="159"/>
      <c r="GBM50" s="159"/>
      <c r="GBN50" s="159"/>
      <c r="GBO50" s="159"/>
      <c r="GBP50" s="159"/>
      <c r="GBQ50" s="159"/>
      <c r="GBR50" s="159"/>
      <c r="GBS50" s="159"/>
      <c r="GBT50" s="159"/>
      <c r="GBU50" s="159"/>
      <c r="GBV50" s="159"/>
      <c r="GBW50" s="159"/>
      <c r="GBX50" s="159"/>
      <c r="GBY50" s="159"/>
      <c r="GBZ50" s="159"/>
      <c r="GCA50" s="159"/>
      <c r="GCB50" s="159"/>
      <c r="GCC50" s="159"/>
      <c r="GCD50" s="159"/>
      <c r="GCE50" s="159"/>
      <c r="GCF50" s="159"/>
      <c r="GCG50" s="159"/>
      <c r="GCH50" s="159"/>
      <c r="GCI50" s="159"/>
      <c r="GCJ50" s="159"/>
      <c r="GCK50" s="159"/>
      <c r="GCL50" s="159"/>
      <c r="GCM50" s="159"/>
      <c r="GCN50" s="159"/>
      <c r="GCO50" s="159"/>
      <c r="GCP50" s="159"/>
      <c r="GCQ50" s="159"/>
      <c r="GCR50" s="159"/>
      <c r="GCS50" s="159"/>
      <c r="GCT50" s="159"/>
      <c r="GCU50" s="159"/>
      <c r="GCV50" s="159"/>
      <c r="GCW50" s="159"/>
      <c r="GCX50" s="159"/>
      <c r="GCY50" s="159"/>
      <c r="GCZ50" s="159"/>
      <c r="GDA50" s="159"/>
      <c r="GDB50" s="159"/>
      <c r="GDC50" s="159"/>
      <c r="GDD50" s="159"/>
      <c r="GDE50" s="159"/>
      <c r="GDF50" s="159"/>
      <c r="GDG50" s="159"/>
      <c r="GDH50" s="159"/>
      <c r="GDI50" s="159"/>
      <c r="GDJ50" s="159"/>
      <c r="GDK50" s="159"/>
      <c r="GDL50" s="159"/>
      <c r="GDM50" s="159"/>
      <c r="GDN50" s="159"/>
      <c r="GDO50" s="159"/>
      <c r="GDP50" s="159"/>
      <c r="GDQ50" s="159"/>
      <c r="GDR50" s="159"/>
      <c r="GDS50" s="159"/>
      <c r="GDT50" s="159"/>
      <c r="GDU50" s="159"/>
      <c r="GDV50" s="159"/>
      <c r="GDW50" s="159"/>
      <c r="GDX50" s="159"/>
      <c r="GDY50" s="159"/>
      <c r="GDZ50" s="159"/>
      <c r="GEA50" s="159"/>
      <c r="GEB50" s="159"/>
      <c r="GEC50" s="159"/>
      <c r="GED50" s="159"/>
      <c r="GEE50" s="159"/>
      <c r="GEF50" s="159"/>
      <c r="GEG50" s="159"/>
      <c r="GEH50" s="159"/>
      <c r="GEI50" s="159"/>
      <c r="GEJ50" s="159"/>
      <c r="GEK50" s="159"/>
      <c r="GEL50" s="159"/>
      <c r="GEM50" s="159"/>
      <c r="GEN50" s="159"/>
      <c r="GEO50" s="159"/>
      <c r="GEP50" s="159"/>
      <c r="GEQ50" s="159"/>
      <c r="GER50" s="159"/>
      <c r="GES50" s="159"/>
      <c r="GET50" s="159"/>
      <c r="GEU50" s="159"/>
      <c r="GEV50" s="159"/>
      <c r="GEW50" s="159"/>
      <c r="GEX50" s="159"/>
      <c r="GEY50" s="159"/>
      <c r="GEZ50" s="159"/>
      <c r="GFA50" s="159"/>
      <c r="GFB50" s="159"/>
      <c r="GFC50" s="159"/>
      <c r="GFD50" s="159"/>
      <c r="GFE50" s="159"/>
      <c r="GFF50" s="159"/>
      <c r="GFG50" s="159"/>
      <c r="GFH50" s="159"/>
      <c r="GFI50" s="159"/>
      <c r="GFJ50" s="159"/>
      <c r="GFK50" s="159"/>
      <c r="GFL50" s="159"/>
      <c r="GFM50" s="159"/>
      <c r="GFN50" s="159"/>
      <c r="GFO50" s="159"/>
      <c r="GFP50" s="159"/>
      <c r="GFQ50" s="159"/>
      <c r="GFR50" s="159"/>
      <c r="GFS50" s="159"/>
      <c r="GFT50" s="159"/>
      <c r="GFU50" s="159"/>
      <c r="GFV50" s="159"/>
      <c r="GFW50" s="159"/>
      <c r="GFX50" s="159"/>
      <c r="GFY50" s="159"/>
      <c r="GFZ50" s="159"/>
      <c r="GGA50" s="159"/>
      <c r="GGB50" s="159"/>
      <c r="GGC50" s="159"/>
      <c r="GGD50" s="159"/>
      <c r="GGE50" s="159"/>
      <c r="GGF50" s="159"/>
      <c r="GGG50" s="159"/>
      <c r="GGH50" s="159"/>
      <c r="GGI50" s="159"/>
      <c r="GGJ50" s="159"/>
      <c r="GGK50" s="159"/>
      <c r="GGL50" s="159"/>
      <c r="GGM50" s="159"/>
      <c r="GGN50" s="159"/>
      <c r="GGO50" s="159"/>
      <c r="GGP50" s="159"/>
      <c r="GGQ50" s="159"/>
      <c r="GGR50" s="159"/>
      <c r="GGS50" s="159"/>
      <c r="GGT50" s="159"/>
      <c r="GGU50" s="159"/>
      <c r="GGV50" s="159"/>
      <c r="GGW50" s="159"/>
      <c r="GGX50" s="159"/>
      <c r="GGY50" s="159"/>
      <c r="GGZ50" s="159"/>
      <c r="GHA50" s="159"/>
      <c r="GHB50" s="159"/>
      <c r="GHC50" s="159"/>
      <c r="GHD50" s="159"/>
      <c r="GHE50" s="159"/>
      <c r="GHF50" s="159"/>
      <c r="GHG50" s="159"/>
      <c r="GHH50" s="159"/>
      <c r="GHI50" s="159"/>
      <c r="GHJ50" s="159"/>
      <c r="GHK50" s="159"/>
      <c r="GHL50" s="159"/>
      <c r="GHM50" s="159"/>
      <c r="GHN50" s="159"/>
      <c r="GHO50" s="159"/>
      <c r="GHP50" s="159"/>
      <c r="GHQ50" s="159"/>
      <c r="GHR50" s="159"/>
      <c r="GHS50" s="159"/>
      <c r="GHT50" s="159"/>
      <c r="GHU50" s="159"/>
      <c r="GHV50" s="159"/>
      <c r="GHW50" s="159"/>
      <c r="GHX50" s="159"/>
      <c r="GHY50" s="159"/>
      <c r="GHZ50" s="159"/>
      <c r="GIA50" s="159"/>
      <c r="GIB50" s="159"/>
      <c r="GIC50" s="159"/>
      <c r="GID50" s="159"/>
      <c r="GIE50" s="159"/>
      <c r="GIF50" s="159"/>
      <c r="GIG50" s="159"/>
      <c r="GIH50" s="159"/>
      <c r="GII50" s="159"/>
      <c r="GIJ50" s="159"/>
      <c r="GIK50" s="159"/>
      <c r="GIL50" s="159"/>
      <c r="GIM50" s="159"/>
      <c r="GIN50" s="159"/>
      <c r="GIO50" s="159"/>
      <c r="GIP50" s="159"/>
      <c r="GIQ50" s="159"/>
      <c r="GIR50" s="159"/>
      <c r="GIS50" s="159"/>
      <c r="GIT50" s="159"/>
      <c r="GIU50" s="159"/>
      <c r="GIV50" s="159"/>
      <c r="GIW50" s="159"/>
      <c r="GIX50" s="159"/>
      <c r="GIY50" s="159"/>
      <c r="GIZ50" s="159"/>
      <c r="GJA50" s="159"/>
      <c r="GJB50" s="159"/>
      <c r="GJC50" s="159"/>
      <c r="GJD50" s="159"/>
      <c r="GJE50" s="159"/>
      <c r="GJF50" s="159"/>
      <c r="GJG50" s="159"/>
      <c r="GJH50" s="159"/>
      <c r="GJI50" s="159"/>
      <c r="GJJ50" s="159"/>
      <c r="GJK50" s="159"/>
      <c r="GJL50" s="159"/>
      <c r="GJM50" s="159"/>
      <c r="GJN50" s="159"/>
      <c r="GJO50" s="159"/>
      <c r="GJP50" s="159"/>
      <c r="GJQ50" s="159"/>
      <c r="GJR50" s="159"/>
      <c r="GJS50" s="159"/>
      <c r="GJT50" s="159"/>
      <c r="GJU50" s="159"/>
      <c r="GJV50" s="159"/>
      <c r="GJW50" s="159"/>
      <c r="GJX50" s="159"/>
      <c r="GJY50" s="159"/>
      <c r="GJZ50" s="159"/>
      <c r="GKA50" s="159"/>
      <c r="GKB50" s="159"/>
      <c r="GKC50" s="159"/>
      <c r="GKD50" s="159"/>
      <c r="GKE50" s="159"/>
      <c r="GKF50" s="159"/>
      <c r="GKG50" s="159"/>
      <c r="GKH50" s="159"/>
      <c r="GKI50" s="159"/>
      <c r="GKJ50" s="159"/>
      <c r="GKK50" s="159"/>
      <c r="GKL50" s="159"/>
      <c r="GKM50" s="159"/>
      <c r="GKN50" s="159"/>
      <c r="GKO50" s="159"/>
      <c r="GKP50" s="159"/>
      <c r="GKQ50" s="159"/>
      <c r="GKR50" s="159"/>
      <c r="GKS50" s="159"/>
      <c r="GKT50" s="159"/>
      <c r="GKU50" s="159"/>
      <c r="GKV50" s="159"/>
      <c r="GKW50" s="159"/>
      <c r="GKX50" s="159"/>
      <c r="GKY50" s="159"/>
      <c r="GKZ50" s="159"/>
      <c r="GLA50" s="159"/>
      <c r="GLB50" s="159"/>
      <c r="GLC50" s="159"/>
      <c r="GLD50" s="159"/>
      <c r="GLE50" s="159"/>
      <c r="GLF50" s="159"/>
      <c r="GLG50" s="159"/>
      <c r="GLH50" s="159"/>
      <c r="GLI50" s="159"/>
      <c r="GLJ50" s="159"/>
      <c r="GLK50" s="159"/>
      <c r="GLL50" s="159"/>
      <c r="GLM50" s="159"/>
      <c r="GLN50" s="159"/>
      <c r="GLO50" s="159"/>
      <c r="GLP50" s="159"/>
      <c r="GLQ50" s="159"/>
      <c r="GLR50" s="159"/>
      <c r="GLS50" s="159"/>
      <c r="GLT50" s="159"/>
      <c r="GLU50" s="159"/>
      <c r="GLV50" s="159"/>
      <c r="GLW50" s="159"/>
      <c r="GLX50" s="159"/>
      <c r="GLY50" s="159"/>
      <c r="GLZ50" s="159"/>
      <c r="GMA50" s="159"/>
      <c r="GMB50" s="159"/>
      <c r="GMC50" s="159"/>
      <c r="GMD50" s="159"/>
      <c r="GME50" s="159"/>
      <c r="GMF50" s="159"/>
      <c r="GMG50" s="159"/>
      <c r="GMH50" s="159"/>
      <c r="GMI50" s="159"/>
      <c r="GMJ50" s="159"/>
      <c r="GMK50" s="159"/>
      <c r="GML50" s="159"/>
      <c r="GMM50" s="159"/>
      <c r="GMN50" s="159"/>
      <c r="GMO50" s="159"/>
      <c r="GMP50" s="159"/>
      <c r="GMQ50" s="159"/>
      <c r="GMR50" s="159"/>
      <c r="GMS50" s="159"/>
      <c r="GMT50" s="159"/>
      <c r="GMU50" s="159"/>
      <c r="GMV50" s="159"/>
      <c r="GMW50" s="159"/>
      <c r="GMX50" s="159"/>
      <c r="GMY50" s="159"/>
      <c r="GMZ50" s="159"/>
      <c r="GNA50" s="159"/>
      <c r="GNB50" s="159"/>
      <c r="GNC50" s="159"/>
      <c r="GND50" s="159"/>
      <c r="GNE50" s="159"/>
      <c r="GNF50" s="159"/>
      <c r="GNG50" s="159"/>
      <c r="GNH50" s="159"/>
      <c r="GNI50" s="159"/>
      <c r="GNJ50" s="159"/>
      <c r="GNK50" s="159"/>
      <c r="GNL50" s="159"/>
      <c r="GNM50" s="159"/>
      <c r="GNN50" s="159"/>
      <c r="GNO50" s="159"/>
      <c r="GNP50" s="159"/>
      <c r="GNQ50" s="159"/>
      <c r="GNR50" s="159"/>
      <c r="GNS50" s="159"/>
      <c r="GNT50" s="159"/>
      <c r="GNU50" s="159"/>
      <c r="GNV50" s="159"/>
      <c r="GNW50" s="159"/>
      <c r="GNX50" s="159"/>
      <c r="GNY50" s="159"/>
      <c r="GNZ50" s="159"/>
      <c r="GOA50" s="159"/>
      <c r="GOB50" s="159"/>
      <c r="GOC50" s="159"/>
      <c r="GOD50" s="159"/>
      <c r="GOE50" s="159"/>
      <c r="GOF50" s="159"/>
      <c r="GOG50" s="159"/>
      <c r="GOH50" s="159"/>
      <c r="GOI50" s="159"/>
      <c r="GOJ50" s="159"/>
      <c r="GOK50" s="159"/>
      <c r="GOL50" s="159"/>
      <c r="GOM50" s="159"/>
      <c r="GON50" s="159"/>
      <c r="GOO50" s="159"/>
      <c r="GOP50" s="159"/>
      <c r="GOQ50" s="159"/>
      <c r="GOR50" s="159"/>
      <c r="GOS50" s="159"/>
      <c r="GOT50" s="159"/>
      <c r="GOU50" s="159"/>
      <c r="GOV50" s="159"/>
      <c r="GOW50" s="159"/>
      <c r="GOX50" s="159"/>
      <c r="GOY50" s="159"/>
      <c r="GOZ50" s="159"/>
      <c r="GPA50" s="159"/>
      <c r="GPB50" s="159"/>
      <c r="GPC50" s="159"/>
      <c r="GPD50" s="159"/>
      <c r="GPE50" s="159"/>
      <c r="GPF50" s="159"/>
      <c r="GPG50" s="159"/>
      <c r="GPH50" s="159"/>
      <c r="GPI50" s="159"/>
      <c r="GPJ50" s="159"/>
      <c r="GPK50" s="159"/>
      <c r="GPL50" s="159"/>
      <c r="GPM50" s="159"/>
      <c r="GPN50" s="159"/>
      <c r="GPO50" s="159"/>
      <c r="GPP50" s="159"/>
      <c r="GPQ50" s="159"/>
      <c r="GPR50" s="159"/>
      <c r="GPS50" s="159"/>
      <c r="GPT50" s="159"/>
      <c r="GPU50" s="159"/>
      <c r="GPV50" s="159"/>
      <c r="GPW50" s="159"/>
      <c r="GPX50" s="159"/>
      <c r="GPY50" s="159"/>
      <c r="GPZ50" s="159"/>
      <c r="GQA50" s="159"/>
      <c r="GQB50" s="159"/>
      <c r="GQC50" s="159"/>
      <c r="GQD50" s="159"/>
      <c r="GQE50" s="159"/>
      <c r="GQF50" s="159"/>
      <c r="GQG50" s="159"/>
      <c r="GQH50" s="159"/>
      <c r="GQI50" s="159"/>
      <c r="GQJ50" s="159"/>
      <c r="GQK50" s="159"/>
      <c r="GQL50" s="159"/>
      <c r="GQM50" s="159"/>
      <c r="GQN50" s="159"/>
      <c r="GQO50" s="159"/>
      <c r="GQP50" s="159"/>
      <c r="GQQ50" s="159"/>
      <c r="GQR50" s="159"/>
      <c r="GQS50" s="159"/>
      <c r="GQT50" s="159"/>
      <c r="GQU50" s="159"/>
      <c r="GQV50" s="159"/>
      <c r="GQW50" s="159"/>
      <c r="GQX50" s="159"/>
      <c r="GQY50" s="159"/>
      <c r="GQZ50" s="159"/>
      <c r="GRA50" s="159"/>
      <c r="GRB50" s="159"/>
      <c r="GRC50" s="159"/>
      <c r="GRD50" s="159"/>
      <c r="GRE50" s="159"/>
      <c r="GRF50" s="159"/>
      <c r="GRG50" s="159"/>
      <c r="GRH50" s="159"/>
      <c r="GRI50" s="159"/>
      <c r="GRJ50" s="159"/>
      <c r="GRK50" s="159"/>
      <c r="GRL50" s="159"/>
      <c r="GRM50" s="159"/>
      <c r="GRN50" s="159"/>
      <c r="GRO50" s="159"/>
      <c r="GRP50" s="159"/>
      <c r="GRQ50" s="159"/>
      <c r="GRR50" s="159"/>
      <c r="GRS50" s="159"/>
      <c r="GRT50" s="159"/>
      <c r="GRU50" s="159"/>
      <c r="GRV50" s="159"/>
      <c r="GRW50" s="159"/>
      <c r="GRX50" s="159"/>
      <c r="GRY50" s="159"/>
      <c r="GRZ50" s="159"/>
      <c r="GSA50" s="159"/>
      <c r="GSB50" s="159"/>
      <c r="GSC50" s="159"/>
      <c r="GSD50" s="159"/>
      <c r="GSE50" s="159"/>
      <c r="GSF50" s="159"/>
      <c r="GSG50" s="159"/>
      <c r="GSH50" s="159"/>
      <c r="GSI50" s="159"/>
      <c r="GSJ50" s="159"/>
      <c r="GSK50" s="159"/>
      <c r="GSL50" s="159"/>
      <c r="GSM50" s="159"/>
      <c r="GSN50" s="159"/>
      <c r="GSO50" s="159"/>
      <c r="GSP50" s="159"/>
      <c r="GSQ50" s="159"/>
      <c r="GSR50" s="159"/>
      <c r="GSS50" s="159"/>
      <c r="GST50" s="159"/>
      <c r="GSU50" s="159"/>
      <c r="GSV50" s="159"/>
      <c r="GSW50" s="159"/>
      <c r="GSX50" s="159"/>
      <c r="GSY50" s="159"/>
      <c r="GSZ50" s="159"/>
      <c r="GTA50" s="159"/>
      <c r="GTB50" s="159"/>
      <c r="GTC50" s="159"/>
      <c r="GTD50" s="159"/>
      <c r="GTE50" s="159"/>
      <c r="GTF50" s="159"/>
      <c r="GTG50" s="159"/>
      <c r="GTH50" s="159"/>
      <c r="GTI50" s="159"/>
      <c r="GTJ50" s="159"/>
      <c r="GTK50" s="159"/>
      <c r="GTL50" s="159"/>
      <c r="GTM50" s="159"/>
      <c r="GTN50" s="159"/>
      <c r="GTO50" s="159"/>
      <c r="GTP50" s="159"/>
      <c r="GTQ50" s="159"/>
      <c r="GTR50" s="159"/>
      <c r="GTS50" s="159"/>
      <c r="GTT50" s="159"/>
      <c r="GTU50" s="159"/>
      <c r="GTV50" s="159"/>
      <c r="GTW50" s="159"/>
      <c r="GTX50" s="159"/>
      <c r="GTY50" s="159"/>
      <c r="GTZ50" s="159"/>
      <c r="GUA50" s="159"/>
      <c r="GUB50" s="159"/>
      <c r="GUC50" s="159"/>
      <c r="GUD50" s="159"/>
      <c r="GUE50" s="159"/>
      <c r="GUF50" s="159"/>
      <c r="GUG50" s="159"/>
      <c r="GUH50" s="159"/>
      <c r="GUI50" s="159"/>
      <c r="GUJ50" s="159"/>
      <c r="GUK50" s="159"/>
      <c r="GUL50" s="159"/>
      <c r="GUM50" s="159"/>
      <c r="GUN50" s="159"/>
      <c r="GUO50" s="159"/>
      <c r="GUP50" s="159"/>
      <c r="GUQ50" s="159"/>
      <c r="GUR50" s="159"/>
      <c r="GUS50" s="159"/>
      <c r="GUT50" s="159"/>
      <c r="GUU50" s="159"/>
      <c r="GUV50" s="159"/>
      <c r="GUW50" s="159"/>
      <c r="GUX50" s="159"/>
      <c r="GUY50" s="159"/>
      <c r="GUZ50" s="159"/>
      <c r="GVA50" s="159"/>
      <c r="GVB50" s="159"/>
      <c r="GVC50" s="159"/>
      <c r="GVD50" s="159"/>
      <c r="GVE50" s="159"/>
      <c r="GVF50" s="159"/>
      <c r="GVG50" s="159"/>
      <c r="GVH50" s="159"/>
      <c r="GVI50" s="159"/>
      <c r="GVJ50" s="159"/>
      <c r="GVK50" s="159"/>
      <c r="GVL50" s="159"/>
      <c r="GVM50" s="159"/>
      <c r="GVN50" s="159"/>
      <c r="GVO50" s="159"/>
      <c r="GVP50" s="159"/>
      <c r="GVQ50" s="159"/>
      <c r="GVR50" s="159"/>
      <c r="GVS50" s="159"/>
      <c r="GVT50" s="159"/>
      <c r="GVU50" s="159"/>
      <c r="GVV50" s="159"/>
      <c r="GVW50" s="159"/>
      <c r="GVX50" s="159"/>
      <c r="GVY50" s="159"/>
      <c r="GVZ50" s="159"/>
      <c r="GWA50" s="159"/>
      <c r="GWB50" s="159"/>
      <c r="GWC50" s="159"/>
      <c r="GWD50" s="159"/>
      <c r="GWE50" s="159"/>
      <c r="GWF50" s="159"/>
      <c r="GWG50" s="159"/>
      <c r="GWH50" s="159"/>
      <c r="GWI50" s="159"/>
      <c r="GWJ50" s="159"/>
      <c r="GWK50" s="159"/>
      <c r="GWL50" s="159"/>
      <c r="GWM50" s="159"/>
      <c r="GWN50" s="159"/>
      <c r="GWO50" s="159"/>
      <c r="GWP50" s="159"/>
      <c r="GWQ50" s="159"/>
      <c r="GWR50" s="159"/>
      <c r="GWS50" s="159"/>
      <c r="GWT50" s="159"/>
      <c r="GWU50" s="159"/>
      <c r="GWV50" s="159"/>
      <c r="GWW50" s="159"/>
      <c r="GWX50" s="159"/>
      <c r="GWY50" s="159"/>
      <c r="GWZ50" s="159"/>
      <c r="GXA50" s="159"/>
      <c r="GXB50" s="159"/>
      <c r="GXC50" s="159"/>
      <c r="GXD50" s="159"/>
      <c r="GXE50" s="159"/>
      <c r="GXF50" s="159"/>
      <c r="GXG50" s="159"/>
      <c r="GXH50" s="159"/>
      <c r="GXI50" s="159"/>
      <c r="GXJ50" s="159"/>
      <c r="GXK50" s="159"/>
      <c r="GXL50" s="159"/>
      <c r="GXM50" s="159"/>
      <c r="GXN50" s="159"/>
      <c r="GXO50" s="159"/>
      <c r="GXP50" s="159"/>
      <c r="GXQ50" s="159"/>
      <c r="GXR50" s="159"/>
      <c r="GXS50" s="159"/>
      <c r="GXT50" s="159"/>
      <c r="GXU50" s="159"/>
      <c r="GXV50" s="159"/>
      <c r="GXW50" s="159"/>
      <c r="GXX50" s="159"/>
      <c r="GXY50" s="159"/>
      <c r="GXZ50" s="159"/>
      <c r="GYA50" s="159"/>
      <c r="GYB50" s="159"/>
      <c r="GYC50" s="159"/>
      <c r="GYD50" s="159"/>
      <c r="GYE50" s="159"/>
      <c r="GYF50" s="159"/>
      <c r="GYG50" s="159"/>
      <c r="GYH50" s="159"/>
      <c r="GYI50" s="159"/>
      <c r="GYJ50" s="159"/>
      <c r="GYK50" s="159"/>
      <c r="GYL50" s="159"/>
      <c r="GYM50" s="159"/>
      <c r="GYN50" s="159"/>
      <c r="GYO50" s="159"/>
      <c r="GYP50" s="159"/>
      <c r="GYQ50" s="159"/>
      <c r="GYR50" s="159"/>
      <c r="GYS50" s="159"/>
      <c r="GYT50" s="159"/>
      <c r="GYU50" s="159"/>
      <c r="GYV50" s="159"/>
      <c r="GYW50" s="159"/>
      <c r="GYX50" s="159"/>
      <c r="GYY50" s="159"/>
      <c r="GYZ50" s="159"/>
      <c r="GZA50" s="159"/>
      <c r="GZB50" s="159"/>
      <c r="GZC50" s="159"/>
      <c r="GZD50" s="159"/>
      <c r="GZE50" s="159"/>
      <c r="GZF50" s="159"/>
      <c r="GZG50" s="159"/>
      <c r="GZH50" s="159"/>
      <c r="GZI50" s="159"/>
      <c r="GZJ50" s="159"/>
      <c r="GZK50" s="159"/>
      <c r="GZL50" s="159"/>
      <c r="GZM50" s="159"/>
      <c r="GZN50" s="159"/>
      <c r="GZO50" s="159"/>
      <c r="GZP50" s="159"/>
      <c r="GZQ50" s="159"/>
      <c r="GZR50" s="159"/>
      <c r="GZS50" s="159"/>
      <c r="GZT50" s="159"/>
      <c r="GZU50" s="159"/>
      <c r="GZV50" s="159"/>
      <c r="GZW50" s="159"/>
      <c r="GZX50" s="159"/>
      <c r="GZY50" s="159"/>
      <c r="GZZ50" s="159"/>
      <c r="HAA50" s="159"/>
      <c r="HAB50" s="159"/>
      <c r="HAC50" s="159"/>
      <c r="HAD50" s="159"/>
      <c r="HAE50" s="159"/>
      <c r="HAF50" s="159"/>
      <c r="HAG50" s="159"/>
      <c r="HAH50" s="159"/>
      <c r="HAI50" s="159"/>
      <c r="HAJ50" s="159"/>
      <c r="HAK50" s="159"/>
      <c r="HAL50" s="159"/>
      <c r="HAM50" s="159"/>
      <c r="HAN50" s="159"/>
      <c r="HAO50" s="159"/>
      <c r="HAP50" s="159"/>
      <c r="HAQ50" s="159"/>
      <c r="HAR50" s="159"/>
      <c r="HAS50" s="159"/>
      <c r="HAT50" s="159"/>
      <c r="HAU50" s="159"/>
      <c r="HAV50" s="159"/>
      <c r="HAW50" s="159"/>
      <c r="HAX50" s="159"/>
      <c r="HAY50" s="159"/>
      <c r="HAZ50" s="159"/>
      <c r="HBA50" s="159"/>
      <c r="HBB50" s="159"/>
      <c r="HBC50" s="159"/>
      <c r="HBD50" s="159"/>
      <c r="HBE50" s="159"/>
      <c r="HBF50" s="159"/>
      <c r="HBG50" s="159"/>
      <c r="HBH50" s="159"/>
      <c r="HBI50" s="159"/>
      <c r="HBJ50" s="159"/>
      <c r="HBK50" s="159"/>
      <c r="HBL50" s="159"/>
      <c r="HBM50" s="159"/>
      <c r="HBN50" s="159"/>
      <c r="HBO50" s="159"/>
      <c r="HBP50" s="159"/>
      <c r="HBQ50" s="159"/>
      <c r="HBR50" s="159"/>
      <c r="HBS50" s="159"/>
      <c r="HBT50" s="159"/>
      <c r="HBU50" s="159"/>
      <c r="HBV50" s="159"/>
      <c r="HBW50" s="159"/>
      <c r="HBX50" s="159"/>
      <c r="HBY50" s="159"/>
      <c r="HBZ50" s="159"/>
      <c r="HCA50" s="159"/>
      <c r="HCB50" s="159"/>
      <c r="HCC50" s="159"/>
      <c r="HCD50" s="159"/>
      <c r="HCE50" s="159"/>
      <c r="HCF50" s="159"/>
      <c r="HCG50" s="159"/>
      <c r="HCH50" s="159"/>
      <c r="HCI50" s="159"/>
      <c r="HCJ50" s="159"/>
      <c r="HCK50" s="159"/>
      <c r="HCL50" s="159"/>
      <c r="HCM50" s="159"/>
      <c r="HCN50" s="159"/>
      <c r="HCO50" s="159"/>
      <c r="HCP50" s="159"/>
      <c r="HCQ50" s="159"/>
      <c r="HCR50" s="159"/>
      <c r="HCS50" s="159"/>
      <c r="HCT50" s="159"/>
      <c r="HCU50" s="159"/>
      <c r="HCV50" s="159"/>
      <c r="HCW50" s="159"/>
      <c r="HCX50" s="159"/>
      <c r="HCY50" s="159"/>
      <c r="HCZ50" s="159"/>
      <c r="HDA50" s="159"/>
      <c r="HDB50" s="159"/>
      <c r="HDC50" s="159"/>
      <c r="HDD50" s="159"/>
      <c r="HDE50" s="159"/>
      <c r="HDF50" s="159"/>
      <c r="HDG50" s="159"/>
      <c r="HDH50" s="159"/>
      <c r="HDI50" s="159"/>
      <c r="HDJ50" s="159"/>
      <c r="HDK50" s="159"/>
      <c r="HDL50" s="159"/>
      <c r="HDM50" s="159"/>
      <c r="HDN50" s="159"/>
      <c r="HDO50" s="159"/>
      <c r="HDP50" s="159"/>
      <c r="HDQ50" s="159"/>
      <c r="HDR50" s="159"/>
      <c r="HDS50" s="159"/>
      <c r="HDT50" s="159"/>
      <c r="HDU50" s="159"/>
      <c r="HDV50" s="159"/>
      <c r="HDW50" s="159"/>
      <c r="HDX50" s="159"/>
      <c r="HDY50" s="159"/>
      <c r="HDZ50" s="159"/>
      <c r="HEA50" s="159"/>
      <c r="HEB50" s="159"/>
      <c r="HEC50" s="159"/>
      <c r="HED50" s="159"/>
      <c r="HEE50" s="159"/>
      <c r="HEF50" s="159"/>
      <c r="HEG50" s="159"/>
      <c r="HEH50" s="159"/>
      <c r="HEI50" s="159"/>
      <c r="HEJ50" s="159"/>
      <c r="HEK50" s="159"/>
      <c r="HEL50" s="159"/>
      <c r="HEM50" s="159"/>
      <c r="HEN50" s="159"/>
      <c r="HEO50" s="159"/>
      <c r="HEP50" s="159"/>
      <c r="HEQ50" s="159"/>
      <c r="HER50" s="159"/>
      <c r="HES50" s="159"/>
      <c r="HET50" s="159"/>
      <c r="HEU50" s="159"/>
      <c r="HEV50" s="159"/>
      <c r="HEW50" s="159"/>
      <c r="HEX50" s="159"/>
      <c r="HEY50" s="159"/>
      <c r="HEZ50" s="159"/>
      <c r="HFA50" s="159"/>
      <c r="HFB50" s="159"/>
      <c r="HFC50" s="159"/>
      <c r="HFD50" s="159"/>
      <c r="HFE50" s="159"/>
      <c r="HFF50" s="159"/>
      <c r="HFG50" s="159"/>
      <c r="HFH50" s="159"/>
      <c r="HFI50" s="159"/>
      <c r="HFJ50" s="159"/>
      <c r="HFK50" s="159"/>
      <c r="HFL50" s="159"/>
      <c r="HFM50" s="159"/>
      <c r="HFN50" s="159"/>
      <c r="HFO50" s="159"/>
      <c r="HFP50" s="159"/>
      <c r="HFQ50" s="159"/>
      <c r="HFR50" s="159"/>
      <c r="HFS50" s="159"/>
      <c r="HFT50" s="159"/>
      <c r="HFU50" s="159"/>
      <c r="HFV50" s="159"/>
      <c r="HFW50" s="159"/>
      <c r="HFX50" s="159"/>
      <c r="HFY50" s="159"/>
      <c r="HFZ50" s="159"/>
      <c r="HGA50" s="159"/>
      <c r="HGB50" s="159"/>
      <c r="HGC50" s="159"/>
      <c r="HGD50" s="159"/>
      <c r="HGE50" s="159"/>
      <c r="HGF50" s="159"/>
      <c r="HGG50" s="159"/>
      <c r="HGH50" s="159"/>
      <c r="HGI50" s="159"/>
      <c r="HGJ50" s="159"/>
      <c r="HGK50" s="159"/>
      <c r="HGL50" s="159"/>
      <c r="HGM50" s="159"/>
      <c r="HGN50" s="159"/>
      <c r="HGO50" s="159"/>
      <c r="HGP50" s="159"/>
      <c r="HGQ50" s="159"/>
      <c r="HGR50" s="159"/>
      <c r="HGS50" s="159"/>
      <c r="HGT50" s="159"/>
      <c r="HGU50" s="159"/>
      <c r="HGV50" s="159"/>
      <c r="HGW50" s="159"/>
      <c r="HGX50" s="159"/>
      <c r="HGY50" s="159"/>
      <c r="HGZ50" s="159"/>
      <c r="HHA50" s="159"/>
      <c r="HHB50" s="159"/>
      <c r="HHC50" s="159"/>
      <c r="HHD50" s="159"/>
      <c r="HHE50" s="159"/>
      <c r="HHF50" s="159"/>
      <c r="HHG50" s="159"/>
      <c r="HHH50" s="159"/>
      <c r="HHI50" s="159"/>
      <c r="HHJ50" s="159"/>
      <c r="HHK50" s="159"/>
      <c r="HHL50" s="159"/>
      <c r="HHM50" s="159"/>
      <c r="HHN50" s="159"/>
      <c r="HHO50" s="159"/>
      <c r="HHP50" s="159"/>
      <c r="HHQ50" s="159"/>
      <c r="HHR50" s="159"/>
      <c r="HHS50" s="159"/>
      <c r="HHT50" s="159"/>
      <c r="HHU50" s="159"/>
      <c r="HHV50" s="159"/>
      <c r="HHW50" s="159"/>
      <c r="HHX50" s="159"/>
      <c r="HHY50" s="159"/>
      <c r="HHZ50" s="159"/>
      <c r="HIA50" s="159"/>
      <c r="HIB50" s="159"/>
      <c r="HIC50" s="159"/>
      <c r="HID50" s="159"/>
      <c r="HIE50" s="159"/>
      <c r="HIF50" s="159"/>
      <c r="HIG50" s="159"/>
      <c r="HIH50" s="159"/>
      <c r="HII50" s="159"/>
      <c r="HIJ50" s="159"/>
      <c r="HIK50" s="159"/>
      <c r="HIL50" s="159"/>
      <c r="HIM50" s="159"/>
      <c r="HIN50" s="159"/>
      <c r="HIO50" s="159"/>
      <c r="HIP50" s="159"/>
      <c r="HIQ50" s="159"/>
      <c r="HIR50" s="159"/>
      <c r="HIS50" s="159"/>
      <c r="HIT50" s="159"/>
      <c r="HIU50" s="159"/>
      <c r="HIV50" s="159"/>
      <c r="HIW50" s="159"/>
      <c r="HIX50" s="159"/>
      <c r="HIY50" s="159"/>
      <c r="HIZ50" s="159"/>
      <c r="HJA50" s="159"/>
      <c r="HJB50" s="159"/>
      <c r="HJC50" s="159"/>
      <c r="HJD50" s="159"/>
      <c r="HJE50" s="159"/>
      <c r="HJF50" s="159"/>
      <c r="HJG50" s="159"/>
      <c r="HJH50" s="159"/>
      <c r="HJI50" s="159"/>
      <c r="HJJ50" s="159"/>
      <c r="HJK50" s="159"/>
      <c r="HJL50" s="159"/>
      <c r="HJM50" s="159"/>
      <c r="HJN50" s="159"/>
      <c r="HJO50" s="159"/>
      <c r="HJP50" s="159"/>
      <c r="HJQ50" s="159"/>
      <c r="HJR50" s="159"/>
      <c r="HJS50" s="159"/>
      <c r="HJT50" s="159"/>
      <c r="HJU50" s="159"/>
      <c r="HJV50" s="159"/>
      <c r="HJW50" s="159"/>
      <c r="HJX50" s="159"/>
      <c r="HJY50" s="159"/>
      <c r="HJZ50" s="159"/>
      <c r="HKA50" s="159"/>
      <c r="HKB50" s="159"/>
      <c r="HKC50" s="159"/>
      <c r="HKD50" s="159"/>
      <c r="HKE50" s="159"/>
      <c r="HKF50" s="159"/>
      <c r="HKG50" s="159"/>
      <c r="HKH50" s="159"/>
      <c r="HKI50" s="159"/>
      <c r="HKJ50" s="159"/>
      <c r="HKK50" s="159"/>
      <c r="HKL50" s="159"/>
      <c r="HKM50" s="159"/>
      <c r="HKN50" s="159"/>
      <c r="HKO50" s="159"/>
      <c r="HKP50" s="159"/>
      <c r="HKQ50" s="159"/>
      <c r="HKR50" s="159"/>
      <c r="HKS50" s="159"/>
      <c r="HKT50" s="159"/>
      <c r="HKU50" s="159"/>
      <c r="HKV50" s="159"/>
      <c r="HKW50" s="159"/>
      <c r="HKX50" s="159"/>
      <c r="HKY50" s="159"/>
      <c r="HKZ50" s="159"/>
      <c r="HLA50" s="159"/>
      <c r="HLB50" s="159"/>
      <c r="HLC50" s="159"/>
      <c r="HLD50" s="159"/>
      <c r="HLE50" s="159"/>
      <c r="HLF50" s="159"/>
      <c r="HLG50" s="159"/>
      <c r="HLH50" s="159"/>
      <c r="HLI50" s="159"/>
      <c r="HLJ50" s="159"/>
      <c r="HLK50" s="159"/>
      <c r="HLL50" s="159"/>
      <c r="HLM50" s="159"/>
      <c r="HLN50" s="159"/>
      <c r="HLO50" s="159"/>
      <c r="HLP50" s="159"/>
      <c r="HLQ50" s="159"/>
      <c r="HLR50" s="159"/>
      <c r="HLS50" s="159"/>
      <c r="HLT50" s="159"/>
      <c r="HLU50" s="159"/>
      <c r="HLV50" s="159"/>
      <c r="HLW50" s="159"/>
      <c r="HLX50" s="159"/>
      <c r="HLY50" s="159"/>
      <c r="HLZ50" s="159"/>
      <c r="HMA50" s="159"/>
      <c r="HMB50" s="159"/>
      <c r="HMC50" s="159"/>
      <c r="HMD50" s="159"/>
      <c r="HME50" s="159"/>
      <c r="HMF50" s="159"/>
      <c r="HMG50" s="159"/>
      <c r="HMH50" s="159"/>
      <c r="HMI50" s="159"/>
      <c r="HMJ50" s="159"/>
      <c r="HMK50" s="159"/>
      <c r="HML50" s="159"/>
      <c r="HMM50" s="159"/>
      <c r="HMN50" s="159"/>
      <c r="HMO50" s="159"/>
      <c r="HMP50" s="159"/>
      <c r="HMQ50" s="159"/>
      <c r="HMR50" s="159"/>
      <c r="HMS50" s="159"/>
      <c r="HMT50" s="159"/>
      <c r="HMU50" s="159"/>
      <c r="HMV50" s="159"/>
      <c r="HMW50" s="159"/>
      <c r="HMX50" s="159"/>
      <c r="HMY50" s="159"/>
      <c r="HMZ50" s="159"/>
      <c r="HNA50" s="159"/>
      <c r="HNB50" s="159"/>
      <c r="HNC50" s="159"/>
      <c r="HND50" s="159"/>
      <c r="HNE50" s="159"/>
      <c r="HNF50" s="159"/>
      <c r="HNG50" s="159"/>
      <c r="HNH50" s="159"/>
      <c r="HNI50" s="159"/>
      <c r="HNJ50" s="159"/>
      <c r="HNK50" s="159"/>
      <c r="HNL50" s="159"/>
      <c r="HNM50" s="159"/>
      <c r="HNN50" s="159"/>
      <c r="HNO50" s="159"/>
      <c r="HNP50" s="159"/>
      <c r="HNQ50" s="159"/>
      <c r="HNR50" s="159"/>
      <c r="HNS50" s="159"/>
      <c r="HNT50" s="159"/>
      <c r="HNU50" s="159"/>
      <c r="HNV50" s="159"/>
      <c r="HNW50" s="159"/>
      <c r="HNX50" s="159"/>
      <c r="HNY50" s="159"/>
      <c r="HNZ50" s="159"/>
      <c r="HOA50" s="159"/>
      <c r="HOB50" s="159"/>
      <c r="HOC50" s="159"/>
      <c r="HOD50" s="159"/>
      <c r="HOE50" s="159"/>
      <c r="HOF50" s="159"/>
      <c r="HOG50" s="159"/>
      <c r="HOH50" s="159"/>
      <c r="HOI50" s="159"/>
      <c r="HOJ50" s="159"/>
      <c r="HOK50" s="159"/>
      <c r="HOL50" s="159"/>
      <c r="HOM50" s="159"/>
      <c r="HON50" s="159"/>
      <c r="HOO50" s="159"/>
      <c r="HOP50" s="159"/>
      <c r="HOQ50" s="159"/>
      <c r="HOR50" s="159"/>
      <c r="HOS50" s="159"/>
      <c r="HOT50" s="159"/>
      <c r="HOU50" s="159"/>
      <c r="HOV50" s="159"/>
      <c r="HOW50" s="159"/>
      <c r="HOX50" s="159"/>
      <c r="HOY50" s="159"/>
      <c r="HOZ50" s="159"/>
      <c r="HPA50" s="159"/>
      <c r="HPB50" s="159"/>
      <c r="HPC50" s="159"/>
      <c r="HPD50" s="159"/>
      <c r="HPE50" s="159"/>
      <c r="HPF50" s="159"/>
      <c r="HPG50" s="159"/>
      <c r="HPH50" s="159"/>
      <c r="HPI50" s="159"/>
      <c r="HPJ50" s="159"/>
      <c r="HPK50" s="159"/>
      <c r="HPL50" s="159"/>
      <c r="HPM50" s="159"/>
      <c r="HPN50" s="159"/>
      <c r="HPO50" s="159"/>
      <c r="HPP50" s="159"/>
      <c r="HPQ50" s="159"/>
      <c r="HPR50" s="159"/>
      <c r="HPS50" s="159"/>
      <c r="HPT50" s="159"/>
      <c r="HPU50" s="159"/>
      <c r="HPV50" s="159"/>
      <c r="HPW50" s="159"/>
      <c r="HPX50" s="159"/>
      <c r="HPY50" s="159"/>
      <c r="HPZ50" s="159"/>
      <c r="HQA50" s="159"/>
      <c r="HQB50" s="159"/>
      <c r="HQC50" s="159"/>
      <c r="HQD50" s="159"/>
      <c r="HQE50" s="159"/>
      <c r="HQF50" s="159"/>
      <c r="HQG50" s="159"/>
      <c r="HQH50" s="159"/>
      <c r="HQI50" s="159"/>
      <c r="HQJ50" s="159"/>
      <c r="HQK50" s="159"/>
      <c r="HQL50" s="159"/>
      <c r="HQM50" s="159"/>
      <c r="HQN50" s="159"/>
      <c r="HQO50" s="159"/>
      <c r="HQP50" s="159"/>
      <c r="HQQ50" s="159"/>
      <c r="HQR50" s="159"/>
      <c r="HQS50" s="159"/>
      <c r="HQT50" s="159"/>
      <c r="HQU50" s="159"/>
      <c r="HQV50" s="159"/>
      <c r="HQW50" s="159"/>
      <c r="HQX50" s="159"/>
      <c r="HQY50" s="159"/>
      <c r="HQZ50" s="159"/>
      <c r="HRA50" s="159"/>
      <c r="HRB50" s="159"/>
      <c r="HRC50" s="159"/>
      <c r="HRD50" s="159"/>
      <c r="HRE50" s="159"/>
      <c r="HRF50" s="159"/>
      <c r="HRG50" s="159"/>
      <c r="HRH50" s="159"/>
      <c r="HRI50" s="159"/>
      <c r="HRJ50" s="159"/>
      <c r="HRK50" s="159"/>
      <c r="HRL50" s="159"/>
      <c r="HRM50" s="159"/>
      <c r="HRN50" s="159"/>
      <c r="HRO50" s="159"/>
      <c r="HRP50" s="159"/>
      <c r="HRQ50" s="159"/>
      <c r="HRR50" s="159"/>
      <c r="HRS50" s="159"/>
      <c r="HRT50" s="159"/>
      <c r="HRU50" s="159"/>
      <c r="HRV50" s="159"/>
      <c r="HRW50" s="159"/>
      <c r="HRX50" s="159"/>
      <c r="HRY50" s="159"/>
      <c r="HRZ50" s="159"/>
      <c r="HSA50" s="159"/>
      <c r="HSB50" s="159"/>
      <c r="HSC50" s="159"/>
      <c r="HSD50" s="159"/>
      <c r="HSE50" s="159"/>
      <c r="HSF50" s="159"/>
      <c r="HSG50" s="159"/>
      <c r="HSH50" s="159"/>
      <c r="HSI50" s="159"/>
      <c r="HSJ50" s="159"/>
      <c r="HSK50" s="159"/>
      <c r="HSL50" s="159"/>
      <c r="HSM50" s="159"/>
      <c r="HSN50" s="159"/>
      <c r="HSO50" s="159"/>
      <c r="HSP50" s="159"/>
      <c r="HSQ50" s="159"/>
      <c r="HSR50" s="159"/>
      <c r="HSS50" s="159"/>
      <c r="HST50" s="159"/>
      <c r="HSU50" s="159"/>
      <c r="HSV50" s="159"/>
      <c r="HSW50" s="159"/>
      <c r="HSX50" s="159"/>
      <c r="HSY50" s="159"/>
      <c r="HSZ50" s="159"/>
      <c r="HTA50" s="159"/>
      <c r="HTB50" s="159"/>
      <c r="HTC50" s="159"/>
      <c r="HTD50" s="159"/>
      <c r="HTE50" s="159"/>
      <c r="HTF50" s="159"/>
      <c r="HTG50" s="159"/>
      <c r="HTH50" s="159"/>
      <c r="HTI50" s="159"/>
      <c r="HTJ50" s="159"/>
      <c r="HTK50" s="159"/>
      <c r="HTL50" s="159"/>
      <c r="HTM50" s="159"/>
      <c r="HTN50" s="159"/>
      <c r="HTO50" s="159"/>
      <c r="HTP50" s="159"/>
      <c r="HTQ50" s="159"/>
      <c r="HTR50" s="159"/>
      <c r="HTS50" s="159"/>
      <c r="HTT50" s="159"/>
      <c r="HTU50" s="159"/>
      <c r="HTV50" s="159"/>
      <c r="HTW50" s="159"/>
      <c r="HTX50" s="159"/>
      <c r="HTY50" s="159"/>
      <c r="HTZ50" s="159"/>
      <c r="HUA50" s="159"/>
      <c r="HUB50" s="159"/>
      <c r="HUC50" s="159"/>
      <c r="HUD50" s="159"/>
      <c r="HUE50" s="159"/>
      <c r="HUF50" s="159"/>
      <c r="HUG50" s="159"/>
      <c r="HUH50" s="159"/>
      <c r="HUI50" s="159"/>
      <c r="HUJ50" s="159"/>
      <c r="HUK50" s="159"/>
      <c r="HUL50" s="159"/>
      <c r="HUM50" s="159"/>
      <c r="HUN50" s="159"/>
      <c r="HUO50" s="159"/>
      <c r="HUP50" s="159"/>
      <c r="HUQ50" s="159"/>
      <c r="HUR50" s="159"/>
      <c r="HUS50" s="159"/>
      <c r="HUT50" s="159"/>
      <c r="HUU50" s="159"/>
      <c r="HUV50" s="159"/>
      <c r="HUW50" s="159"/>
      <c r="HUX50" s="159"/>
      <c r="HUY50" s="159"/>
      <c r="HUZ50" s="159"/>
      <c r="HVA50" s="159"/>
      <c r="HVB50" s="159"/>
      <c r="HVC50" s="159"/>
      <c r="HVD50" s="159"/>
      <c r="HVE50" s="159"/>
      <c r="HVF50" s="159"/>
      <c r="HVG50" s="159"/>
      <c r="HVH50" s="159"/>
      <c r="HVI50" s="159"/>
      <c r="HVJ50" s="159"/>
      <c r="HVK50" s="159"/>
      <c r="HVL50" s="159"/>
      <c r="HVM50" s="159"/>
      <c r="HVN50" s="159"/>
      <c r="HVO50" s="159"/>
      <c r="HVP50" s="159"/>
      <c r="HVQ50" s="159"/>
      <c r="HVR50" s="159"/>
      <c r="HVS50" s="159"/>
      <c r="HVT50" s="159"/>
      <c r="HVU50" s="159"/>
      <c r="HVV50" s="159"/>
      <c r="HVW50" s="159"/>
      <c r="HVX50" s="159"/>
      <c r="HVY50" s="159"/>
      <c r="HVZ50" s="159"/>
      <c r="HWA50" s="159"/>
      <c r="HWB50" s="159"/>
      <c r="HWC50" s="159"/>
      <c r="HWD50" s="159"/>
      <c r="HWE50" s="159"/>
      <c r="HWF50" s="159"/>
      <c r="HWG50" s="159"/>
      <c r="HWH50" s="159"/>
      <c r="HWI50" s="159"/>
      <c r="HWJ50" s="159"/>
      <c r="HWK50" s="159"/>
      <c r="HWL50" s="159"/>
      <c r="HWM50" s="159"/>
      <c r="HWN50" s="159"/>
      <c r="HWO50" s="159"/>
      <c r="HWP50" s="159"/>
      <c r="HWQ50" s="159"/>
      <c r="HWR50" s="159"/>
      <c r="HWS50" s="159"/>
      <c r="HWT50" s="159"/>
      <c r="HWU50" s="159"/>
      <c r="HWV50" s="159"/>
      <c r="HWW50" s="159"/>
      <c r="HWX50" s="159"/>
      <c r="HWY50" s="159"/>
      <c r="HWZ50" s="159"/>
      <c r="HXA50" s="159"/>
      <c r="HXB50" s="159"/>
      <c r="HXC50" s="159"/>
      <c r="HXD50" s="159"/>
      <c r="HXE50" s="159"/>
      <c r="HXF50" s="159"/>
      <c r="HXG50" s="159"/>
      <c r="HXH50" s="159"/>
      <c r="HXI50" s="159"/>
      <c r="HXJ50" s="159"/>
      <c r="HXK50" s="159"/>
      <c r="HXL50" s="159"/>
      <c r="HXM50" s="159"/>
      <c r="HXN50" s="159"/>
      <c r="HXO50" s="159"/>
      <c r="HXP50" s="159"/>
      <c r="HXQ50" s="159"/>
      <c r="HXR50" s="159"/>
      <c r="HXS50" s="159"/>
      <c r="HXT50" s="159"/>
      <c r="HXU50" s="159"/>
      <c r="HXV50" s="159"/>
      <c r="HXW50" s="159"/>
      <c r="HXX50" s="159"/>
      <c r="HXY50" s="159"/>
      <c r="HXZ50" s="159"/>
      <c r="HYA50" s="159"/>
      <c r="HYB50" s="159"/>
      <c r="HYC50" s="159"/>
      <c r="HYD50" s="159"/>
      <c r="HYE50" s="159"/>
      <c r="HYF50" s="159"/>
      <c r="HYG50" s="159"/>
      <c r="HYH50" s="159"/>
      <c r="HYI50" s="159"/>
      <c r="HYJ50" s="159"/>
      <c r="HYK50" s="159"/>
      <c r="HYL50" s="159"/>
      <c r="HYM50" s="159"/>
      <c r="HYN50" s="159"/>
      <c r="HYO50" s="159"/>
      <c r="HYP50" s="159"/>
      <c r="HYQ50" s="159"/>
      <c r="HYR50" s="159"/>
      <c r="HYS50" s="159"/>
      <c r="HYT50" s="159"/>
      <c r="HYU50" s="159"/>
      <c r="HYV50" s="159"/>
      <c r="HYW50" s="159"/>
      <c r="HYX50" s="159"/>
      <c r="HYY50" s="159"/>
      <c r="HYZ50" s="159"/>
      <c r="HZA50" s="159"/>
      <c r="HZB50" s="159"/>
      <c r="HZC50" s="159"/>
      <c r="HZD50" s="159"/>
      <c r="HZE50" s="159"/>
      <c r="HZF50" s="159"/>
      <c r="HZG50" s="159"/>
      <c r="HZH50" s="159"/>
      <c r="HZI50" s="159"/>
      <c r="HZJ50" s="159"/>
      <c r="HZK50" s="159"/>
      <c r="HZL50" s="159"/>
      <c r="HZM50" s="159"/>
      <c r="HZN50" s="159"/>
      <c r="HZO50" s="159"/>
      <c r="HZP50" s="159"/>
      <c r="HZQ50" s="159"/>
      <c r="HZR50" s="159"/>
      <c r="HZS50" s="159"/>
      <c r="HZT50" s="159"/>
      <c r="HZU50" s="159"/>
      <c r="HZV50" s="159"/>
      <c r="HZW50" s="159"/>
      <c r="HZX50" s="159"/>
      <c r="HZY50" s="159"/>
      <c r="HZZ50" s="159"/>
      <c r="IAA50" s="159"/>
      <c r="IAB50" s="159"/>
      <c r="IAC50" s="159"/>
      <c r="IAD50" s="159"/>
      <c r="IAE50" s="159"/>
      <c r="IAF50" s="159"/>
      <c r="IAG50" s="159"/>
      <c r="IAH50" s="159"/>
      <c r="IAI50" s="159"/>
      <c r="IAJ50" s="159"/>
      <c r="IAK50" s="159"/>
      <c r="IAL50" s="159"/>
      <c r="IAM50" s="159"/>
      <c r="IAN50" s="159"/>
      <c r="IAO50" s="159"/>
      <c r="IAP50" s="159"/>
      <c r="IAQ50" s="159"/>
      <c r="IAR50" s="159"/>
      <c r="IAS50" s="159"/>
      <c r="IAT50" s="159"/>
      <c r="IAU50" s="159"/>
      <c r="IAV50" s="159"/>
      <c r="IAW50" s="159"/>
      <c r="IAX50" s="159"/>
      <c r="IAY50" s="159"/>
      <c r="IAZ50" s="159"/>
      <c r="IBA50" s="159"/>
      <c r="IBB50" s="159"/>
      <c r="IBC50" s="159"/>
      <c r="IBD50" s="159"/>
      <c r="IBE50" s="159"/>
      <c r="IBF50" s="159"/>
      <c r="IBG50" s="159"/>
      <c r="IBH50" s="159"/>
      <c r="IBI50" s="159"/>
      <c r="IBJ50" s="159"/>
      <c r="IBK50" s="159"/>
      <c r="IBL50" s="159"/>
      <c r="IBM50" s="159"/>
      <c r="IBN50" s="159"/>
      <c r="IBO50" s="159"/>
      <c r="IBP50" s="159"/>
      <c r="IBQ50" s="159"/>
      <c r="IBR50" s="159"/>
      <c r="IBS50" s="159"/>
      <c r="IBT50" s="159"/>
      <c r="IBU50" s="159"/>
      <c r="IBV50" s="159"/>
      <c r="IBW50" s="159"/>
      <c r="IBX50" s="159"/>
      <c r="IBY50" s="159"/>
      <c r="IBZ50" s="159"/>
      <c r="ICA50" s="159"/>
      <c r="ICB50" s="159"/>
      <c r="ICC50" s="159"/>
      <c r="ICD50" s="159"/>
      <c r="ICE50" s="159"/>
      <c r="ICF50" s="159"/>
      <c r="ICG50" s="159"/>
      <c r="ICH50" s="159"/>
      <c r="ICI50" s="159"/>
      <c r="ICJ50" s="159"/>
      <c r="ICK50" s="159"/>
      <c r="ICL50" s="159"/>
      <c r="ICM50" s="159"/>
      <c r="ICN50" s="159"/>
      <c r="ICO50" s="159"/>
      <c r="ICP50" s="159"/>
      <c r="ICQ50" s="159"/>
      <c r="ICR50" s="159"/>
      <c r="ICS50" s="159"/>
      <c r="ICT50" s="159"/>
      <c r="ICU50" s="159"/>
      <c r="ICV50" s="159"/>
      <c r="ICW50" s="159"/>
      <c r="ICX50" s="159"/>
      <c r="ICY50" s="159"/>
      <c r="ICZ50" s="159"/>
      <c r="IDA50" s="159"/>
      <c r="IDB50" s="159"/>
      <c r="IDC50" s="159"/>
      <c r="IDD50" s="159"/>
      <c r="IDE50" s="159"/>
      <c r="IDF50" s="159"/>
      <c r="IDG50" s="159"/>
      <c r="IDH50" s="159"/>
      <c r="IDI50" s="159"/>
      <c r="IDJ50" s="159"/>
      <c r="IDK50" s="159"/>
      <c r="IDL50" s="159"/>
      <c r="IDM50" s="159"/>
      <c r="IDN50" s="159"/>
      <c r="IDO50" s="159"/>
      <c r="IDP50" s="159"/>
      <c r="IDQ50" s="159"/>
      <c r="IDR50" s="159"/>
      <c r="IDS50" s="159"/>
      <c r="IDT50" s="159"/>
      <c r="IDU50" s="159"/>
      <c r="IDV50" s="159"/>
      <c r="IDW50" s="159"/>
      <c r="IDX50" s="159"/>
      <c r="IDY50" s="159"/>
      <c r="IDZ50" s="159"/>
      <c r="IEA50" s="159"/>
      <c r="IEB50" s="159"/>
      <c r="IEC50" s="159"/>
      <c r="IED50" s="159"/>
      <c r="IEE50" s="159"/>
      <c r="IEF50" s="159"/>
      <c r="IEG50" s="159"/>
      <c r="IEH50" s="159"/>
      <c r="IEI50" s="159"/>
      <c r="IEJ50" s="159"/>
      <c r="IEK50" s="159"/>
      <c r="IEL50" s="159"/>
      <c r="IEM50" s="159"/>
      <c r="IEN50" s="159"/>
      <c r="IEO50" s="159"/>
      <c r="IEP50" s="159"/>
      <c r="IEQ50" s="159"/>
      <c r="IER50" s="159"/>
      <c r="IES50" s="159"/>
      <c r="IET50" s="159"/>
      <c r="IEU50" s="159"/>
      <c r="IEV50" s="159"/>
      <c r="IEW50" s="159"/>
      <c r="IEX50" s="159"/>
      <c r="IEY50" s="159"/>
      <c r="IEZ50" s="159"/>
      <c r="IFA50" s="159"/>
      <c r="IFB50" s="159"/>
      <c r="IFC50" s="159"/>
      <c r="IFD50" s="159"/>
      <c r="IFE50" s="159"/>
      <c r="IFF50" s="159"/>
      <c r="IFG50" s="159"/>
      <c r="IFH50" s="159"/>
      <c r="IFI50" s="159"/>
      <c r="IFJ50" s="159"/>
      <c r="IFK50" s="159"/>
      <c r="IFL50" s="159"/>
      <c r="IFM50" s="159"/>
      <c r="IFN50" s="159"/>
      <c r="IFO50" s="159"/>
      <c r="IFP50" s="159"/>
      <c r="IFQ50" s="159"/>
      <c r="IFR50" s="159"/>
      <c r="IFS50" s="159"/>
      <c r="IFT50" s="159"/>
      <c r="IFU50" s="159"/>
      <c r="IFV50" s="159"/>
      <c r="IFW50" s="159"/>
      <c r="IFX50" s="159"/>
      <c r="IFY50" s="159"/>
      <c r="IFZ50" s="159"/>
      <c r="IGA50" s="159"/>
      <c r="IGB50" s="159"/>
      <c r="IGC50" s="159"/>
      <c r="IGD50" s="159"/>
      <c r="IGE50" s="159"/>
      <c r="IGF50" s="159"/>
      <c r="IGG50" s="159"/>
      <c r="IGH50" s="159"/>
      <c r="IGI50" s="159"/>
      <c r="IGJ50" s="159"/>
      <c r="IGK50" s="159"/>
      <c r="IGL50" s="159"/>
      <c r="IGM50" s="159"/>
      <c r="IGN50" s="159"/>
      <c r="IGO50" s="159"/>
      <c r="IGP50" s="159"/>
      <c r="IGQ50" s="159"/>
      <c r="IGR50" s="159"/>
      <c r="IGS50" s="159"/>
      <c r="IGT50" s="159"/>
      <c r="IGU50" s="159"/>
      <c r="IGV50" s="159"/>
      <c r="IGW50" s="159"/>
      <c r="IGX50" s="159"/>
      <c r="IGY50" s="159"/>
      <c r="IGZ50" s="159"/>
      <c r="IHA50" s="159"/>
      <c r="IHB50" s="159"/>
      <c r="IHC50" s="159"/>
      <c r="IHD50" s="159"/>
      <c r="IHE50" s="159"/>
      <c r="IHF50" s="159"/>
      <c r="IHG50" s="159"/>
      <c r="IHH50" s="159"/>
      <c r="IHI50" s="159"/>
      <c r="IHJ50" s="159"/>
      <c r="IHK50" s="159"/>
      <c r="IHL50" s="159"/>
      <c r="IHM50" s="159"/>
      <c r="IHN50" s="159"/>
      <c r="IHO50" s="159"/>
      <c r="IHP50" s="159"/>
      <c r="IHQ50" s="159"/>
      <c r="IHR50" s="159"/>
      <c r="IHS50" s="159"/>
      <c r="IHT50" s="159"/>
      <c r="IHU50" s="159"/>
      <c r="IHV50" s="159"/>
      <c r="IHW50" s="159"/>
      <c r="IHX50" s="159"/>
      <c r="IHY50" s="159"/>
      <c r="IHZ50" s="159"/>
      <c r="IIA50" s="159"/>
      <c r="IIB50" s="159"/>
      <c r="IIC50" s="159"/>
      <c r="IID50" s="159"/>
      <c r="IIE50" s="159"/>
      <c r="IIF50" s="159"/>
      <c r="IIG50" s="159"/>
      <c r="IIH50" s="159"/>
      <c r="III50" s="159"/>
      <c r="IIJ50" s="159"/>
      <c r="IIK50" s="159"/>
      <c r="IIL50" s="159"/>
      <c r="IIM50" s="159"/>
      <c r="IIN50" s="159"/>
      <c r="IIO50" s="159"/>
      <c r="IIP50" s="159"/>
      <c r="IIQ50" s="159"/>
      <c r="IIR50" s="159"/>
      <c r="IIS50" s="159"/>
      <c r="IIT50" s="159"/>
      <c r="IIU50" s="159"/>
      <c r="IIV50" s="159"/>
      <c r="IIW50" s="159"/>
      <c r="IIX50" s="159"/>
      <c r="IIY50" s="159"/>
      <c r="IIZ50" s="159"/>
      <c r="IJA50" s="159"/>
      <c r="IJB50" s="159"/>
      <c r="IJC50" s="159"/>
      <c r="IJD50" s="159"/>
      <c r="IJE50" s="159"/>
      <c r="IJF50" s="159"/>
      <c r="IJG50" s="159"/>
      <c r="IJH50" s="159"/>
      <c r="IJI50" s="159"/>
      <c r="IJJ50" s="159"/>
      <c r="IJK50" s="159"/>
      <c r="IJL50" s="159"/>
      <c r="IJM50" s="159"/>
      <c r="IJN50" s="159"/>
      <c r="IJO50" s="159"/>
      <c r="IJP50" s="159"/>
      <c r="IJQ50" s="159"/>
      <c r="IJR50" s="159"/>
      <c r="IJS50" s="159"/>
      <c r="IJT50" s="159"/>
      <c r="IJU50" s="159"/>
      <c r="IJV50" s="159"/>
      <c r="IJW50" s="159"/>
      <c r="IJX50" s="159"/>
      <c r="IJY50" s="159"/>
      <c r="IJZ50" s="159"/>
      <c r="IKA50" s="159"/>
      <c r="IKB50" s="159"/>
      <c r="IKC50" s="159"/>
      <c r="IKD50" s="159"/>
      <c r="IKE50" s="159"/>
      <c r="IKF50" s="159"/>
      <c r="IKG50" s="159"/>
      <c r="IKH50" s="159"/>
      <c r="IKI50" s="159"/>
      <c r="IKJ50" s="159"/>
      <c r="IKK50" s="159"/>
      <c r="IKL50" s="159"/>
      <c r="IKM50" s="159"/>
      <c r="IKN50" s="159"/>
      <c r="IKO50" s="159"/>
      <c r="IKP50" s="159"/>
      <c r="IKQ50" s="159"/>
      <c r="IKR50" s="159"/>
      <c r="IKS50" s="159"/>
      <c r="IKT50" s="159"/>
      <c r="IKU50" s="159"/>
      <c r="IKV50" s="159"/>
      <c r="IKW50" s="159"/>
      <c r="IKX50" s="159"/>
      <c r="IKY50" s="159"/>
      <c r="IKZ50" s="159"/>
      <c r="ILA50" s="159"/>
      <c r="ILB50" s="159"/>
      <c r="ILC50" s="159"/>
      <c r="ILD50" s="159"/>
      <c r="ILE50" s="159"/>
      <c r="ILF50" s="159"/>
      <c r="ILG50" s="159"/>
      <c r="ILH50" s="159"/>
      <c r="ILI50" s="159"/>
      <c r="ILJ50" s="159"/>
      <c r="ILK50" s="159"/>
      <c r="ILL50" s="159"/>
      <c r="ILM50" s="159"/>
      <c r="ILN50" s="159"/>
      <c r="ILO50" s="159"/>
      <c r="ILP50" s="159"/>
      <c r="ILQ50" s="159"/>
      <c r="ILR50" s="159"/>
      <c r="ILS50" s="159"/>
      <c r="ILT50" s="159"/>
      <c r="ILU50" s="159"/>
      <c r="ILV50" s="159"/>
      <c r="ILW50" s="159"/>
      <c r="ILX50" s="159"/>
      <c r="ILY50" s="159"/>
      <c r="ILZ50" s="159"/>
      <c r="IMA50" s="159"/>
      <c r="IMB50" s="159"/>
      <c r="IMC50" s="159"/>
      <c r="IMD50" s="159"/>
      <c r="IME50" s="159"/>
      <c r="IMF50" s="159"/>
      <c r="IMG50" s="159"/>
      <c r="IMH50" s="159"/>
      <c r="IMI50" s="159"/>
      <c r="IMJ50" s="159"/>
      <c r="IMK50" s="159"/>
      <c r="IML50" s="159"/>
      <c r="IMM50" s="159"/>
      <c r="IMN50" s="159"/>
      <c r="IMO50" s="159"/>
      <c r="IMP50" s="159"/>
      <c r="IMQ50" s="159"/>
      <c r="IMR50" s="159"/>
      <c r="IMS50" s="159"/>
      <c r="IMT50" s="159"/>
      <c r="IMU50" s="159"/>
      <c r="IMV50" s="159"/>
      <c r="IMW50" s="159"/>
      <c r="IMX50" s="159"/>
      <c r="IMY50" s="159"/>
      <c r="IMZ50" s="159"/>
      <c r="INA50" s="159"/>
      <c r="INB50" s="159"/>
      <c r="INC50" s="159"/>
      <c r="IND50" s="159"/>
      <c r="INE50" s="159"/>
      <c r="INF50" s="159"/>
      <c r="ING50" s="159"/>
      <c r="INH50" s="159"/>
      <c r="INI50" s="159"/>
      <c r="INJ50" s="159"/>
      <c r="INK50" s="159"/>
      <c r="INL50" s="159"/>
      <c r="INM50" s="159"/>
      <c r="INN50" s="159"/>
      <c r="INO50" s="159"/>
      <c r="INP50" s="159"/>
      <c r="INQ50" s="159"/>
      <c r="INR50" s="159"/>
      <c r="INS50" s="159"/>
      <c r="INT50" s="159"/>
      <c r="INU50" s="159"/>
      <c r="INV50" s="159"/>
      <c r="INW50" s="159"/>
      <c r="INX50" s="159"/>
      <c r="INY50" s="159"/>
      <c r="INZ50" s="159"/>
      <c r="IOA50" s="159"/>
      <c r="IOB50" s="159"/>
      <c r="IOC50" s="159"/>
      <c r="IOD50" s="159"/>
      <c r="IOE50" s="159"/>
      <c r="IOF50" s="159"/>
      <c r="IOG50" s="159"/>
      <c r="IOH50" s="159"/>
      <c r="IOI50" s="159"/>
      <c r="IOJ50" s="159"/>
      <c r="IOK50" s="159"/>
      <c r="IOL50" s="159"/>
      <c r="IOM50" s="159"/>
      <c r="ION50" s="159"/>
      <c r="IOO50" s="159"/>
      <c r="IOP50" s="159"/>
      <c r="IOQ50" s="159"/>
      <c r="IOR50" s="159"/>
      <c r="IOS50" s="159"/>
      <c r="IOT50" s="159"/>
      <c r="IOU50" s="159"/>
      <c r="IOV50" s="159"/>
      <c r="IOW50" s="159"/>
      <c r="IOX50" s="159"/>
      <c r="IOY50" s="159"/>
      <c r="IOZ50" s="159"/>
      <c r="IPA50" s="159"/>
      <c r="IPB50" s="159"/>
      <c r="IPC50" s="159"/>
      <c r="IPD50" s="159"/>
      <c r="IPE50" s="159"/>
      <c r="IPF50" s="159"/>
      <c r="IPG50" s="159"/>
      <c r="IPH50" s="159"/>
      <c r="IPI50" s="159"/>
      <c r="IPJ50" s="159"/>
      <c r="IPK50" s="159"/>
      <c r="IPL50" s="159"/>
      <c r="IPM50" s="159"/>
      <c r="IPN50" s="159"/>
      <c r="IPO50" s="159"/>
      <c r="IPP50" s="159"/>
      <c r="IPQ50" s="159"/>
      <c r="IPR50" s="159"/>
      <c r="IPS50" s="159"/>
      <c r="IPT50" s="159"/>
      <c r="IPU50" s="159"/>
      <c r="IPV50" s="159"/>
      <c r="IPW50" s="159"/>
      <c r="IPX50" s="159"/>
      <c r="IPY50" s="159"/>
      <c r="IPZ50" s="159"/>
      <c r="IQA50" s="159"/>
      <c r="IQB50" s="159"/>
      <c r="IQC50" s="159"/>
      <c r="IQD50" s="159"/>
      <c r="IQE50" s="159"/>
      <c r="IQF50" s="159"/>
      <c r="IQG50" s="159"/>
      <c r="IQH50" s="159"/>
      <c r="IQI50" s="159"/>
      <c r="IQJ50" s="159"/>
      <c r="IQK50" s="159"/>
      <c r="IQL50" s="159"/>
      <c r="IQM50" s="159"/>
      <c r="IQN50" s="159"/>
      <c r="IQO50" s="159"/>
      <c r="IQP50" s="159"/>
      <c r="IQQ50" s="159"/>
      <c r="IQR50" s="159"/>
      <c r="IQS50" s="159"/>
      <c r="IQT50" s="159"/>
      <c r="IQU50" s="159"/>
      <c r="IQV50" s="159"/>
      <c r="IQW50" s="159"/>
      <c r="IQX50" s="159"/>
      <c r="IQY50" s="159"/>
      <c r="IQZ50" s="159"/>
      <c r="IRA50" s="159"/>
      <c r="IRB50" s="159"/>
      <c r="IRC50" s="159"/>
      <c r="IRD50" s="159"/>
      <c r="IRE50" s="159"/>
      <c r="IRF50" s="159"/>
      <c r="IRG50" s="159"/>
      <c r="IRH50" s="159"/>
      <c r="IRI50" s="159"/>
      <c r="IRJ50" s="159"/>
      <c r="IRK50" s="159"/>
      <c r="IRL50" s="159"/>
      <c r="IRM50" s="159"/>
      <c r="IRN50" s="159"/>
      <c r="IRO50" s="159"/>
      <c r="IRP50" s="159"/>
      <c r="IRQ50" s="159"/>
      <c r="IRR50" s="159"/>
      <c r="IRS50" s="159"/>
      <c r="IRT50" s="159"/>
      <c r="IRU50" s="159"/>
      <c r="IRV50" s="159"/>
      <c r="IRW50" s="159"/>
      <c r="IRX50" s="159"/>
      <c r="IRY50" s="159"/>
      <c r="IRZ50" s="159"/>
      <c r="ISA50" s="159"/>
      <c r="ISB50" s="159"/>
      <c r="ISC50" s="159"/>
      <c r="ISD50" s="159"/>
      <c r="ISE50" s="159"/>
      <c r="ISF50" s="159"/>
      <c r="ISG50" s="159"/>
      <c r="ISH50" s="159"/>
      <c r="ISI50" s="159"/>
      <c r="ISJ50" s="159"/>
      <c r="ISK50" s="159"/>
      <c r="ISL50" s="159"/>
      <c r="ISM50" s="159"/>
      <c r="ISN50" s="159"/>
      <c r="ISO50" s="159"/>
      <c r="ISP50" s="159"/>
      <c r="ISQ50" s="159"/>
      <c r="ISR50" s="159"/>
      <c r="ISS50" s="159"/>
      <c r="IST50" s="159"/>
      <c r="ISU50" s="159"/>
      <c r="ISV50" s="159"/>
      <c r="ISW50" s="159"/>
      <c r="ISX50" s="159"/>
      <c r="ISY50" s="159"/>
      <c r="ISZ50" s="159"/>
      <c r="ITA50" s="159"/>
      <c r="ITB50" s="159"/>
      <c r="ITC50" s="159"/>
      <c r="ITD50" s="159"/>
      <c r="ITE50" s="159"/>
      <c r="ITF50" s="159"/>
      <c r="ITG50" s="159"/>
      <c r="ITH50" s="159"/>
      <c r="ITI50" s="159"/>
      <c r="ITJ50" s="159"/>
      <c r="ITK50" s="159"/>
      <c r="ITL50" s="159"/>
      <c r="ITM50" s="159"/>
      <c r="ITN50" s="159"/>
      <c r="ITO50" s="159"/>
      <c r="ITP50" s="159"/>
      <c r="ITQ50" s="159"/>
      <c r="ITR50" s="159"/>
      <c r="ITS50" s="159"/>
      <c r="ITT50" s="159"/>
      <c r="ITU50" s="159"/>
      <c r="ITV50" s="159"/>
      <c r="ITW50" s="159"/>
      <c r="ITX50" s="159"/>
      <c r="ITY50" s="159"/>
      <c r="ITZ50" s="159"/>
      <c r="IUA50" s="159"/>
      <c r="IUB50" s="159"/>
      <c r="IUC50" s="159"/>
      <c r="IUD50" s="159"/>
      <c r="IUE50" s="159"/>
      <c r="IUF50" s="159"/>
      <c r="IUG50" s="159"/>
      <c r="IUH50" s="159"/>
      <c r="IUI50" s="159"/>
      <c r="IUJ50" s="159"/>
      <c r="IUK50" s="159"/>
      <c r="IUL50" s="159"/>
      <c r="IUM50" s="159"/>
      <c r="IUN50" s="159"/>
      <c r="IUO50" s="159"/>
      <c r="IUP50" s="159"/>
      <c r="IUQ50" s="159"/>
      <c r="IUR50" s="159"/>
      <c r="IUS50" s="159"/>
      <c r="IUT50" s="159"/>
      <c r="IUU50" s="159"/>
      <c r="IUV50" s="159"/>
      <c r="IUW50" s="159"/>
      <c r="IUX50" s="159"/>
      <c r="IUY50" s="159"/>
      <c r="IUZ50" s="159"/>
      <c r="IVA50" s="159"/>
      <c r="IVB50" s="159"/>
      <c r="IVC50" s="159"/>
      <c r="IVD50" s="159"/>
      <c r="IVE50" s="159"/>
      <c r="IVF50" s="159"/>
      <c r="IVG50" s="159"/>
      <c r="IVH50" s="159"/>
      <c r="IVI50" s="159"/>
      <c r="IVJ50" s="159"/>
      <c r="IVK50" s="159"/>
      <c r="IVL50" s="159"/>
      <c r="IVM50" s="159"/>
      <c r="IVN50" s="159"/>
      <c r="IVO50" s="159"/>
      <c r="IVP50" s="159"/>
      <c r="IVQ50" s="159"/>
      <c r="IVR50" s="159"/>
      <c r="IVS50" s="159"/>
      <c r="IVT50" s="159"/>
      <c r="IVU50" s="159"/>
      <c r="IVV50" s="159"/>
      <c r="IVW50" s="159"/>
      <c r="IVX50" s="159"/>
      <c r="IVY50" s="159"/>
      <c r="IVZ50" s="159"/>
      <c r="IWA50" s="159"/>
      <c r="IWB50" s="159"/>
      <c r="IWC50" s="159"/>
      <c r="IWD50" s="159"/>
      <c r="IWE50" s="159"/>
      <c r="IWF50" s="159"/>
      <c r="IWG50" s="159"/>
      <c r="IWH50" s="159"/>
      <c r="IWI50" s="159"/>
      <c r="IWJ50" s="159"/>
      <c r="IWK50" s="159"/>
      <c r="IWL50" s="159"/>
      <c r="IWM50" s="159"/>
      <c r="IWN50" s="159"/>
      <c r="IWO50" s="159"/>
      <c r="IWP50" s="159"/>
      <c r="IWQ50" s="159"/>
      <c r="IWR50" s="159"/>
      <c r="IWS50" s="159"/>
      <c r="IWT50" s="159"/>
      <c r="IWU50" s="159"/>
      <c r="IWV50" s="159"/>
      <c r="IWW50" s="159"/>
      <c r="IWX50" s="159"/>
      <c r="IWY50" s="159"/>
      <c r="IWZ50" s="159"/>
      <c r="IXA50" s="159"/>
      <c r="IXB50" s="159"/>
      <c r="IXC50" s="159"/>
      <c r="IXD50" s="159"/>
      <c r="IXE50" s="159"/>
      <c r="IXF50" s="159"/>
      <c r="IXG50" s="159"/>
      <c r="IXH50" s="159"/>
      <c r="IXI50" s="159"/>
      <c r="IXJ50" s="159"/>
      <c r="IXK50" s="159"/>
      <c r="IXL50" s="159"/>
      <c r="IXM50" s="159"/>
      <c r="IXN50" s="159"/>
      <c r="IXO50" s="159"/>
      <c r="IXP50" s="159"/>
      <c r="IXQ50" s="159"/>
      <c r="IXR50" s="159"/>
      <c r="IXS50" s="159"/>
      <c r="IXT50" s="159"/>
      <c r="IXU50" s="159"/>
      <c r="IXV50" s="159"/>
      <c r="IXW50" s="159"/>
      <c r="IXX50" s="159"/>
      <c r="IXY50" s="159"/>
      <c r="IXZ50" s="159"/>
      <c r="IYA50" s="159"/>
      <c r="IYB50" s="159"/>
      <c r="IYC50" s="159"/>
      <c r="IYD50" s="159"/>
      <c r="IYE50" s="159"/>
      <c r="IYF50" s="159"/>
      <c r="IYG50" s="159"/>
      <c r="IYH50" s="159"/>
      <c r="IYI50" s="159"/>
      <c r="IYJ50" s="159"/>
      <c r="IYK50" s="159"/>
      <c r="IYL50" s="159"/>
      <c r="IYM50" s="159"/>
      <c r="IYN50" s="159"/>
      <c r="IYO50" s="159"/>
      <c r="IYP50" s="159"/>
      <c r="IYQ50" s="159"/>
      <c r="IYR50" s="159"/>
      <c r="IYS50" s="159"/>
      <c r="IYT50" s="159"/>
      <c r="IYU50" s="159"/>
      <c r="IYV50" s="159"/>
      <c r="IYW50" s="159"/>
      <c r="IYX50" s="159"/>
      <c r="IYY50" s="159"/>
      <c r="IYZ50" s="159"/>
      <c r="IZA50" s="159"/>
      <c r="IZB50" s="159"/>
      <c r="IZC50" s="159"/>
      <c r="IZD50" s="159"/>
      <c r="IZE50" s="159"/>
      <c r="IZF50" s="159"/>
      <c r="IZG50" s="159"/>
      <c r="IZH50" s="159"/>
      <c r="IZI50" s="159"/>
      <c r="IZJ50" s="159"/>
      <c r="IZK50" s="159"/>
      <c r="IZL50" s="159"/>
      <c r="IZM50" s="159"/>
      <c r="IZN50" s="159"/>
      <c r="IZO50" s="159"/>
      <c r="IZP50" s="159"/>
      <c r="IZQ50" s="159"/>
      <c r="IZR50" s="159"/>
      <c r="IZS50" s="159"/>
      <c r="IZT50" s="159"/>
      <c r="IZU50" s="159"/>
      <c r="IZV50" s="159"/>
      <c r="IZW50" s="159"/>
      <c r="IZX50" s="159"/>
      <c r="IZY50" s="159"/>
      <c r="IZZ50" s="159"/>
      <c r="JAA50" s="159"/>
      <c r="JAB50" s="159"/>
      <c r="JAC50" s="159"/>
      <c r="JAD50" s="159"/>
      <c r="JAE50" s="159"/>
      <c r="JAF50" s="159"/>
      <c r="JAG50" s="159"/>
      <c r="JAH50" s="159"/>
      <c r="JAI50" s="159"/>
      <c r="JAJ50" s="159"/>
      <c r="JAK50" s="159"/>
      <c r="JAL50" s="159"/>
      <c r="JAM50" s="159"/>
      <c r="JAN50" s="159"/>
      <c r="JAO50" s="159"/>
      <c r="JAP50" s="159"/>
      <c r="JAQ50" s="159"/>
      <c r="JAR50" s="159"/>
      <c r="JAS50" s="159"/>
      <c r="JAT50" s="159"/>
      <c r="JAU50" s="159"/>
      <c r="JAV50" s="159"/>
      <c r="JAW50" s="159"/>
      <c r="JAX50" s="159"/>
      <c r="JAY50" s="159"/>
      <c r="JAZ50" s="159"/>
      <c r="JBA50" s="159"/>
      <c r="JBB50" s="159"/>
      <c r="JBC50" s="159"/>
      <c r="JBD50" s="159"/>
      <c r="JBE50" s="159"/>
      <c r="JBF50" s="159"/>
      <c r="JBG50" s="159"/>
      <c r="JBH50" s="159"/>
      <c r="JBI50" s="159"/>
      <c r="JBJ50" s="159"/>
      <c r="JBK50" s="159"/>
      <c r="JBL50" s="159"/>
      <c r="JBM50" s="159"/>
      <c r="JBN50" s="159"/>
      <c r="JBO50" s="159"/>
      <c r="JBP50" s="159"/>
      <c r="JBQ50" s="159"/>
      <c r="JBR50" s="159"/>
      <c r="JBS50" s="159"/>
      <c r="JBT50" s="159"/>
      <c r="JBU50" s="159"/>
      <c r="JBV50" s="159"/>
      <c r="JBW50" s="159"/>
      <c r="JBX50" s="159"/>
      <c r="JBY50" s="159"/>
      <c r="JBZ50" s="159"/>
      <c r="JCA50" s="159"/>
      <c r="JCB50" s="159"/>
      <c r="JCC50" s="159"/>
      <c r="JCD50" s="159"/>
      <c r="JCE50" s="159"/>
      <c r="JCF50" s="159"/>
      <c r="JCG50" s="159"/>
      <c r="JCH50" s="159"/>
      <c r="JCI50" s="159"/>
      <c r="JCJ50" s="159"/>
      <c r="JCK50" s="159"/>
      <c r="JCL50" s="159"/>
      <c r="JCM50" s="159"/>
      <c r="JCN50" s="159"/>
      <c r="JCO50" s="159"/>
      <c r="JCP50" s="159"/>
      <c r="JCQ50" s="159"/>
      <c r="JCR50" s="159"/>
      <c r="JCS50" s="159"/>
      <c r="JCT50" s="159"/>
      <c r="JCU50" s="159"/>
      <c r="JCV50" s="159"/>
      <c r="JCW50" s="159"/>
      <c r="JCX50" s="159"/>
      <c r="JCY50" s="159"/>
      <c r="JCZ50" s="159"/>
      <c r="JDA50" s="159"/>
      <c r="JDB50" s="159"/>
      <c r="JDC50" s="159"/>
      <c r="JDD50" s="159"/>
      <c r="JDE50" s="159"/>
      <c r="JDF50" s="159"/>
      <c r="JDG50" s="159"/>
      <c r="JDH50" s="159"/>
      <c r="JDI50" s="159"/>
      <c r="JDJ50" s="159"/>
      <c r="JDK50" s="159"/>
      <c r="JDL50" s="159"/>
      <c r="JDM50" s="159"/>
      <c r="JDN50" s="159"/>
      <c r="JDO50" s="159"/>
      <c r="JDP50" s="159"/>
      <c r="JDQ50" s="159"/>
      <c r="JDR50" s="159"/>
      <c r="JDS50" s="159"/>
      <c r="JDT50" s="159"/>
      <c r="JDU50" s="159"/>
      <c r="JDV50" s="159"/>
      <c r="JDW50" s="159"/>
      <c r="JDX50" s="159"/>
      <c r="JDY50" s="159"/>
      <c r="JDZ50" s="159"/>
      <c r="JEA50" s="159"/>
      <c r="JEB50" s="159"/>
      <c r="JEC50" s="159"/>
      <c r="JED50" s="159"/>
      <c r="JEE50" s="159"/>
      <c r="JEF50" s="159"/>
      <c r="JEG50" s="159"/>
      <c r="JEH50" s="159"/>
      <c r="JEI50" s="159"/>
      <c r="JEJ50" s="159"/>
      <c r="JEK50" s="159"/>
      <c r="JEL50" s="159"/>
      <c r="JEM50" s="159"/>
      <c r="JEN50" s="159"/>
      <c r="JEO50" s="159"/>
      <c r="JEP50" s="159"/>
      <c r="JEQ50" s="159"/>
      <c r="JER50" s="159"/>
      <c r="JES50" s="159"/>
      <c r="JET50" s="159"/>
      <c r="JEU50" s="159"/>
      <c r="JEV50" s="159"/>
      <c r="JEW50" s="159"/>
      <c r="JEX50" s="159"/>
      <c r="JEY50" s="159"/>
      <c r="JEZ50" s="159"/>
      <c r="JFA50" s="159"/>
      <c r="JFB50" s="159"/>
      <c r="JFC50" s="159"/>
      <c r="JFD50" s="159"/>
      <c r="JFE50" s="159"/>
      <c r="JFF50" s="159"/>
      <c r="JFG50" s="159"/>
      <c r="JFH50" s="159"/>
      <c r="JFI50" s="159"/>
      <c r="JFJ50" s="159"/>
      <c r="JFK50" s="159"/>
      <c r="JFL50" s="159"/>
      <c r="JFM50" s="159"/>
      <c r="JFN50" s="159"/>
      <c r="JFO50" s="159"/>
      <c r="JFP50" s="159"/>
      <c r="JFQ50" s="159"/>
      <c r="JFR50" s="159"/>
      <c r="JFS50" s="159"/>
      <c r="JFT50" s="159"/>
      <c r="JFU50" s="159"/>
      <c r="JFV50" s="159"/>
      <c r="JFW50" s="159"/>
      <c r="JFX50" s="159"/>
      <c r="JFY50" s="159"/>
      <c r="JFZ50" s="159"/>
      <c r="JGA50" s="159"/>
      <c r="JGB50" s="159"/>
      <c r="JGC50" s="159"/>
      <c r="JGD50" s="159"/>
      <c r="JGE50" s="159"/>
      <c r="JGF50" s="159"/>
      <c r="JGG50" s="159"/>
      <c r="JGH50" s="159"/>
      <c r="JGI50" s="159"/>
      <c r="JGJ50" s="159"/>
      <c r="JGK50" s="159"/>
      <c r="JGL50" s="159"/>
      <c r="JGM50" s="159"/>
      <c r="JGN50" s="159"/>
      <c r="JGO50" s="159"/>
      <c r="JGP50" s="159"/>
      <c r="JGQ50" s="159"/>
      <c r="JGR50" s="159"/>
      <c r="JGS50" s="159"/>
      <c r="JGT50" s="159"/>
      <c r="JGU50" s="159"/>
      <c r="JGV50" s="159"/>
      <c r="JGW50" s="159"/>
      <c r="JGX50" s="159"/>
      <c r="JGY50" s="159"/>
      <c r="JGZ50" s="159"/>
      <c r="JHA50" s="159"/>
      <c r="JHB50" s="159"/>
      <c r="JHC50" s="159"/>
      <c r="JHD50" s="159"/>
      <c r="JHE50" s="159"/>
      <c r="JHF50" s="159"/>
      <c r="JHG50" s="159"/>
      <c r="JHH50" s="159"/>
      <c r="JHI50" s="159"/>
      <c r="JHJ50" s="159"/>
      <c r="JHK50" s="159"/>
      <c r="JHL50" s="159"/>
      <c r="JHM50" s="159"/>
      <c r="JHN50" s="159"/>
      <c r="JHO50" s="159"/>
      <c r="JHP50" s="159"/>
      <c r="JHQ50" s="159"/>
      <c r="JHR50" s="159"/>
      <c r="JHS50" s="159"/>
      <c r="JHT50" s="159"/>
      <c r="JHU50" s="159"/>
      <c r="JHV50" s="159"/>
      <c r="JHW50" s="159"/>
      <c r="JHX50" s="159"/>
      <c r="JHY50" s="159"/>
      <c r="JHZ50" s="159"/>
      <c r="JIA50" s="159"/>
      <c r="JIB50" s="159"/>
      <c r="JIC50" s="159"/>
      <c r="JID50" s="159"/>
      <c r="JIE50" s="159"/>
      <c r="JIF50" s="159"/>
      <c r="JIG50" s="159"/>
      <c r="JIH50" s="159"/>
      <c r="JII50" s="159"/>
      <c r="JIJ50" s="159"/>
      <c r="JIK50" s="159"/>
      <c r="JIL50" s="159"/>
      <c r="JIM50" s="159"/>
      <c r="JIN50" s="159"/>
      <c r="JIO50" s="159"/>
      <c r="JIP50" s="159"/>
      <c r="JIQ50" s="159"/>
      <c r="JIR50" s="159"/>
      <c r="JIS50" s="159"/>
      <c r="JIT50" s="159"/>
      <c r="JIU50" s="159"/>
      <c r="JIV50" s="159"/>
      <c r="JIW50" s="159"/>
      <c r="JIX50" s="159"/>
      <c r="JIY50" s="159"/>
      <c r="JIZ50" s="159"/>
      <c r="JJA50" s="159"/>
      <c r="JJB50" s="159"/>
      <c r="JJC50" s="159"/>
      <c r="JJD50" s="159"/>
      <c r="JJE50" s="159"/>
      <c r="JJF50" s="159"/>
      <c r="JJG50" s="159"/>
      <c r="JJH50" s="159"/>
      <c r="JJI50" s="159"/>
      <c r="JJJ50" s="159"/>
      <c r="JJK50" s="159"/>
      <c r="JJL50" s="159"/>
      <c r="JJM50" s="159"/>
      <c r="JJN50" s="159"/>
      <c r="JJO50" s="159"/>
      <c r="JJP50" s="159"/>
      <c r="JJQ50" s="159"/>
      <c r="JJR50" s="159"/>
      <c r="JJS50" s="159"/>
      <c r="JJT50" s="159"/>
      <c r="JJU50" s="159"/>
      <c r="JJV50" s="159"/>
      <c r="JJW50" s="159"/>
      <c r="JJX50" s="159"/>
      <c r="JJY50" s="159"/>
      <c r="JJZ50" s="159"/>
      <c r="JKA50" s="159"/>
      <c r="JKB50" s="159"/>
      <c r="JKC50" s="159"/>
      <c r="JKD50" s="159"/>
      <c r="JKE50" s="159"/>
      <c r="JKF50" s="159"/>
      <c r="JKG50" s="159"/>
      <c r="JKH50" s="159"/>
      <c r="JKI50" s="159"/>
      <c r="JKJ50" s="159"/>
      <c r="JKK50" s="159"/>
      <c r="JKL50" s="159"/>
      <c r="JKM50" s="159"/>
      <c r="JKN50" s="159"/>
      <c r="JKO50" s="159"/>
      <c r="JKP50" s="159"/>
      <c r="JKQ50" s="159"/>
      <c r="JKR50" s="159"/>
      <c r="JKS50" s="159"/>
      <c r="JKT50" s="159"/>
      <c r="JKU50" s="159"/>
      <c r="JKV50" s="159"/>
      <c r="JKW50" s="159"/>
      <c r="JKX50" s="159"/>
      <c r="JKY50" s="159"/>
      <c r="JKZ50" s="159"/>
      <c r="JLA50" s="159"/>
      <c r="JLB50" s="159"/>
      <c r="JLC50" s="159"/>
      <c r="JLD50" s="159"/>
      <c r="JLE50" s="159"/>
      <c r="JLF50" s="159"/>
      <c r="JLG50" s="159"/>
      <c r="JLH50" s="159"/>
      <c r="JLI50" s="159"/>
      <c r="JLJ50" s="159"/>
      <c r="JLK50" s="159"/>
      <c r="JLL50" s="159"/>
      <c r="JLM50" s="159"/>
      <c r="JLN50" s="159"/>
      <c r="JLO50" s="159"/>
      <c r="JLP50" s="159"/>
      <c r="JLQ50" s="159"/>
      <c r="JLR50" s="159"/>
      <c r="JLS50" s="159"/>
      <c r="JLT50" s="159"/>
      <c r="JLU50" s="159"/>
      <c r="JLV50" s="159"/>
      <c r="JLW50" s="159"/>
      <c r="JLX50" s="159"/>
      <c r="JLY50" s="159"/>
      <c r="JLZ50" s="159"/>
      <c r="JMA50" s="159"/>
      <c r="JMB50" s="159"/>
      <c r="JMC50" s="159"/>
      <c r="JMD50" s="159"/>
      <c r="JME50" s="159"/>
      <c r="JMF50" s="159"/>
      <c r="JMG50" s="159"/>
      <c r="JMH50" s="159"/>
      <c r="JMI50" s="159"/>
      <c r="JMJ50" s="159"/>
      <c r="JMK50" s="159"/>
      <c r="JML50" s="159"/>
      <c r="JMM50" s="159"/>
      <c r="JMN50" s="159"/>
      <c r="JMO50" s="159"/>
      <c r="JMP50" s="159"/>
      <c r="JMQ50" s="159"/>
      <c r="JMR50" s="159"/>
      <c r="JMS50" s="159"/>
      <c r="JMT50" s="159"/>
      <c r="JMU50" s="159"/>
      <c r="JMV50" s="159"/>
      <c r="JMW50" s="159"/>
      <c r="JMX50" s="159"/>
      <c r="JMY50" s="159"/>
      <c r="JMZ50" s="159"/>
      <c r="JNA50" s="159"/>
      <c r="JNB50" s="159"/>
      <c r="JNC50" s="159"/>
      <c r="JND50" s="159"/>
      <c r="JNE50" s="159"/>
      <c r="JNF50" s="159"/>
      <c r="JNG50" s="159"/>
      <c r="JNH50" s="159"/>
      <c r="JNI50" s="159"/>
      <c r="JNJ50" s="159"/>
      <c r="JNK50" s="159"/>
      <c r="JNL50" s="159"/>
      <c r="JNM50" s="159"/>
      <c r="JNN50" s="159"/>
      <c r="JNO50" s="159"/>
      <c r="JNP50" s="159"/>
      <c r="JNQ50" s="159"/>
      <c r="JNR50" s="159"/>
      <c r="JNS50" s="159"/>
      <c r="JNT50" s="159"/>
      <c r="JNU50" s="159"/>
      <c r="JNV50" s="159"/>
      <c r="JNW50" s="159"/>
      <c r="JNX50" s="159"/>
      <c r="JNY50" s="159"/>
      <c r="JNZ50" s="159"/>
      <c r="JOA50" s="159"/>
      <c r="JOB50" s="159"/>
      <c r="JOC50" s="159"/>
      <c r="JOD50" s="159"/>
      <c r="JOE50" s="159"/>
      <c r="JOF50" s="159"/>
      <c r="JOG50" s="159"/>
      <c r="JOH50" s="159"/>
      <c r="JOI50" s="159"/>
      <c r="JOJ50" s="159"/>
      <c r="JOK50" s="159"/>
      <c r="JOL50" s="159"/>
      <c r="JOM50" s="159"/>
      <c r="JON50" s="159"/>
      <c r="JOO50" s="159"/>
      <c r="JOP50" s="159"/>
      <c r="JOQ50" s="159"/>
      <c r="JOR50" s="159"/>
      <c r="JOS50" s="159"/>
      <c r="JOT50" s="159"/>
      <c r="JOU50" s="159"/>
      <c r="JOV50" s="159"/>
      <c r="JOW50" s="159"/>
      <c r="JOX50" s="159"/>
      <c r="JOY50" s="159"/>
      <c r="JOZ50" s="159"/>
      <c r="JPA50" s="159"/>
      <c r="JPB50" s="159"/>
      <c r="JPC50" s="159"/>
      <c r="JPD50" s="159"/>
      <c r="JPE50" s="159"/>
      <c r="JPF50" s="159"/>
      <c r="JPG50" s="159"/>
      <c r="JPH50" s="159"/>
      <c r="JPI50" s="159"/>
      <c r="JPJ50" s="159"/>
      <c r="JPK50" s="159"/>
      <c r="JPL50" s="159"/>
      <c r="JPM50" s="159"/>
      <c r="JPN50" s="159"/>
      <c r="JPO50" s="159"/>
      <c r="JPP50" s="159"/>
      <c r="JPQ50" s="159"/>
      <c r="JPR50" s="159"/>
      <c r="JPS50" s="159"/>
      <c r="JPT50" s="159"/>
      <c r="JPU50" s="159"/>
      <c r="JPV50" s="159"/>
      <c r="JPW50" s="159"/>
      <c r="JPX50" s="159"/>
      <c r="JPY50" s="159"/>
      <c r="JPZ50" s="159"/>
      <c r="JQA50" s="159"/>
      <c r="JQB50" s="159"/>
      <c r="JQC50" s="159"/>
      <c r="JQD50" s="159"/>
      <c r="JQE50" s="159"/>
      <c r="JQF50" s="159"/>
      <c r="JQG50" s="159"/>
      <c r="JQH50" s="159"/>
      <c r="JQI50" s="159"/>
      <c r="JQJ50" s="159"/>
      <c r="JQK50" s="159"/>
      <c r="JQL50" s="159"/>
      <c r="JQM50" s="159"/>
      <c r="JQN50" s="159"/>
      <c r="JQO50" s="159"/>
      <c r="JQP50" s="159"/>
      <c r="JQQ50" s="159"/>
      <c r="JQR50" s="159"/>
      <c r="JQS50" s="159"/>
      <c r="JQT50" s="159"/>
      <c r="JQU50" s="159"/>
      <c r="JQV50" s="159"/>
      <c r="JQW50" s="159"/>
      <c r="JQX50" s="159"/>
      <c r="JQY50" s="159"/>
      <c r="JQZ50" s="159"/>
      <c r="JRA50" s="159"/>
      <c r="JRB50" s="159"/>
      <c r="JRC50" s="159"/>
      <c r="JRD50" s="159"/>
      <c r="JRE50" s="159"/>
      <c r="JRF50" s="159"/>
      <c r="JRG50" s="159"/>
      <c r="JRH50" s="159"/>
      <c r="JRI50" s="159"/>
      <c r="JRJ50" s="159"/>
      <c r="JRK50" s="159"/>
      <c r="JRL50" s="159"/>
      <c r="JRM50" s="159"/>
      <c r="JRN50" s="159"/>
      <c r="JRO50" s="159"/>
      <c r="JRP50" s="159"/>
      <c r="JRQ50" s="159"/>
      <c r="JRR50" s="159"/>
      <c r="JRS50" s="159"/>
      <c r="JRT50" s="159"/>
      <c r="JRU50" s="159"/>
      <c r="JRV50" s="159"/>
      <c r="JRW50" s="159"/>
      <c r="JRX50" s="159"/>
      <c r="JRY50" s="159"/>
      <c r="JRZ50" s="159"/>
      <c r="JSA50" s="159"/>
      <c r="JSB50" s="159"/>
      <c r="JSC50" s="159"/>
      <c r="JSD50" s="159"/>
      <c r="JSE50" s="159"/>
      <c r="JSF50" s="159"/>
      <c r="JSG50" s="159"/>
      <c r="JSH50" s="159"/>
      <c r="JSI50" s="159"/>
      <c r="JSJ50" s="159"/>
      <c r="JSK50" s="159"/>
      <c r="JSL50" s="159"/>
      <c r="JSM50" s="159"/>
      <c r="JSN50" s="159"/>
      <c r="JSO50" s="159"/>
      <c r="JSP50" s="159"/>
      <c r="JSQ50" s="159"/>
      <c r="JSR50" s="159"/>
      <c r="JSS50" s="159"/>
      <c r="JST50" s="159"/>
      <c r="JSU50" s="159"/>
      <c r="JSV50" s="159"/>
      <c r="JSW50" s="159"/>
      <c r="JSX50" s="159"/>
      <c r="JSY50" s="159"/>
      <c r="JSZ50" s="159"/>
      <c r="JTA50" s="159"/>
      <c r="JTB50" s="159"/>
      <c r="JTC50" s="159"/>
      <c r="JTD50" s="159"/>
      <c r="JTE50" s="159"/>
      <c r="JTF50" s="159"/>
      <c r="JTG50" s="159"/>
      <c r="JTH50" s="159"/>
      <c r="JTI50" s="159"/>
      <c r="JTJ50" s="159"/>
      <c r="JTK50" s="159"/>
      <c r="JTL50" s="159"/>
      <c r="JTM50" s="159"/>
      <c r="JTN50" s="159"/>
      <c r="JTO50" s="159"/>
      <c r="JTP50" s="159"/>
      <c r="JTQ50" s="159"/>
      <c r="JTR50" s="159"/>
      <c r="JTS50" s="159"/>
      <c r="JTT50" s="159"/>
      <c r="JTU50" s="159"/>
      <c r="JTV50" s="159"/>
      <c r="JTW50" s="159"/>
      <c r="JTX50" s="159"/>
      <c r="JTY50" s="159"/>
      <c r="JTZ50" s="159"/>
      <c r="JUA50" s="159"/>
      <c r="JUB50" s="159"/>
      <c r="JUC50" s="159"/>
      <c r="JUD50" s="159"/>
      <c r="JUE50" s="159"/>
      <c r="JUF50" s="159"/>
      <c r="JUG50" s="159"/>
      <c r="JUH50" s="159"/>
      <c r="JUI50" s="159"/>
      <c r="JUJ50" s="159"/>
      <c r="JUK50" s="159"/>
      <c r="JUL50" s="159"/>
      <c r="JUM50" s="159"/>
      <c r="JUN50" s="159"/>
      <c r="JUO50" s="159"/>
      <c r="JUP50" s="159"/>
      <c r="JUQ50" s="159"/>
      <c r="JUR50" s="159"/>
      <c r="JUS50" s="159"/>
      <c r="JUT50" s="159"/>
      <c r="JUU50" s="159"/>
      <c r="JUV50" s="159"/>
      <c r="JUW50" s="159"/>
      <c r="JUX50" s="159"/>
      <c r="JUY50" s="159"/>
      <c r="JUZ50" s="159"/>
      <c r="JVA50" s="159"/>
      <c r="JVB50" s="159"/>
      <c r="JVC50" s="159"/>
      <c r="JVD50" s="159"/>
      <c r="JVE50" s="159"/>
      <c r="JVF50" s="159"/>
      <c r="JVG50" s="159"/>
      <c r="JVH50" s="159"/>
      <c r="JVI50" s="159"/>
      <c r="JVJ50" s="159"/>
      <c r="JVK50" s="159"/>
      <c r="JVL50" s="159"/>
      <c r="JVM50" s="159"/>
      <c r="JVN50" s="159"/>
      <c r="JVO50" s="159"/>
      <c r="JVP50" s="159"/>
      <c r="JVQ50" s="159"/>
      <c r="JVR50" s="159"/>
      <c r="JVS50" s="159"/>
      <c r="JVT50" s="159"/>
      <c r="JVU50" s="159"/>
      <c r="JVV50" s="159"/>
      <c r="JVW50" s="159"/>
      <c r="JVX50" s="159"/>
      <c r="JVY50" s="159"/>
      <c r="JVZ50" s="159"/>
      <c r="JWA50" s="159"/>
      <c r="JWB50" s="159"/>
      <c r="JWC50" s="159"/>
      <c r="JWD50" s="159"/>
      <c r="JWE50" s="159"/>
      <c r="JWF50" s="159"/>
      <c r="JWG50" s="159"/>
      <c r="JWH50" s="159"/>
      <c r="JWI50" s="159"/>
      <c r="JWJ50" s="159"/>
      <c r="JWK50" s="159"/>
      <c r="JWL50" s="159"/>
      <c r="JWM50" s="159"/>
      <c r="JWN50" s="159"/>
      <c r="JWO50" s="159"/>
      <c r="JWP50" s="159"/>
      <c r="JWQ50" s="159"/>
      <c r="JWR50" s="159"/>
      <c r="JWS50" s="159"/>
      <c r="JWT50" s="159"/>
      <c r="JWU50" s="159"/>
      <c r="JWV50" s="159"/>
      <c r="JWW50" s="159"/>
      <c r="JWX50" s="159"/>
      <c r="JWY50" s="159"/>
      <c r="JWZ50" s="159"/>
      <c r="JXA50" s="159"/>
      <c r="JXB50" s="159"/>
      <c r="JXC50" s="159"/>
      <c r="JXD50" s="159"/>
      <c r="JXE50" s="159"/>
      <c r="JXF50" s="159"/>
      <c r="JXG50" s="159"/>
      <c r="JXH50" s="159"/>
      <c r="JXI50" s="159"/>
      <c r="JXJ50" s="159"/>
      <c r="JXK50" s="159"/>
      <c r="JXL50" s="159"/>
      <c r="JXM50" s="159"/>
      <c r="JXN50" s="159"/>
      <c r="JXO50" s="159"/>
      <c r="JXP50" s="159"/>
      <c r="JXQ50" s="159"/>
      <c r="JXR50" s="159"/>
      <c r="JXS50" s="159"/>
      <c r="JXT50" s="159"/>
      <c r="JXU50" s="159"/>
      <c r="JXV50" s="159"/>
      <c r="JXW50" s="159"/>
      <c r="JXX50" s="159"/>
      <c r="JXY50" s="159"/>
      <c r="JXZ50" s="159"/>
      <c r="JYA50" s="159"/>
      <c r="JYB50" s="159"/>
      <c r="JYC50" s="159"/>
      <c r="JYD50" s="159"/>
      <c r="JYE50" s="159"/>
      <c r="JYF50" s="159"/>
      <c r="JYG50" s="159"/>
      <c r="JYH50" s="159"/>
      <c r="JYI50" s="159"/>
      <c r="JYJ50" s="159"/>
      <c r="JYK50" s="159"/>
      <c r="JYL50" s="159"/>
      <c r="JYM50" s="159"/>
      <c r="JYN50" s="159"/>
      <c r="JYO50" s="159"/>
      <c r="JYP50" s="159"/>
      <c r="JYQ50" s="159"/>
      <c r="JYR50" s="159"/>
      <c r="JYS50" s="159"/>
      <c r="JYT50" s="159"/>
      <c r="JYU50" s="159"/>
      <c r="JYV50" s="159"/>
      <c r="JYW50" s="159"/>
      <c r="JYX50" s="159"/>
      <c r="JYY50" s="159"/>
      <c r="JYZ50" s="159"/>
      <c r="JZA50" s="159"/>
      <c r="JZB50" s="159"/>
      <c r="JZC50" s="159"/>
      <c r="JZD50" s="159"/>
      <c r="JZE50" s="159"/>
      <c r="JZF50" s="159"/>
      <c r="JZG50" s="159"/>
      <c r="JZH50" s="159"/>
      <c r="JZI50" s="159"/>
      <c r="JZJ50" s="159"/>
      <c r="JZK50" s="159"/>
      <c r="JZL50" s="159"/>
      <c r="JZM50" s="159"/>
      <c r="JZN50" s="159"/>
      <c r="JZO50" s="159"/>
      <c r="JZP50" s="159"/>
      <c r="JZQ50" s="159"/>
      <c r="JZR50" s="159"/>
      <c r="JZS50" s="159"/>
      <c r="JZT50" s="159"/>
      <c r="JZU50" s="159"/>
      <c r="JZV50" s="159"/>
      <c r="JZW50" s="159"/>
      <c r="JZX50" s="159"/>
      <c r="JZY50" s="159"/>
      <c r="JZZ50" s="159"/>
      <c r="KAA50" s="159"/>
      <c r="KAB50" s="159"/>
      <c r="KAC50" s="159"/>
      <c r="KAD50" s="159"/>
      <c r="KAE50" s="159"/>
      <c r="KAF50" s="159"/>
      <c r="KAG50" s="159"/>
      <c r="KAH50" s="159"/>
      <c r="KAI50" s="159"/>
      <c r="KAJ50" s="159"/>
      <c r="KAK50" s="159"/>
      <c r="KAL50" s="159"/>
      <c r="KAM50" s="159"/>
      <c r="KAN50" s="159"/>
      <c r="KAO50" s="159"/>
      <c r="KAP50" s="159"/>
      <c r="KAQ50" s="159"/>
      <c r="KAR50" s="159"/>
      <c r="KAS50" s="159"/>
      <c r="KAT50" s="159"/>
      <c r="KAU50" s="159"/>
      <c r="KAV50" s="159"/>
      <c r="KAW50" s="159"/>
      <c r="KAX50" s="159"/>
      <c r="KAY50" s="159"/>
      <c r="KAZ50" s="159"/>
      <c r="KBA50" s="159"/>
      <c r="KBB50" s="159"/>
      <c r="KBC50" s="159"/>
      <c r="KBD50" s="159"/>
      <c r="KBE50" s="159"/>
      <c r="KBF50" s="159"/>
      <c r="KBG50" s="159"/>
      <c r="KBH50" s="159"/>
      <c r="KBI50" s="159"/>
      <c r="KBJ50" s="159"/>
      <c r="KBK50" s="159"/>
      <c r="KBL50" s="159"/>
      <c r="KBM50" s="159"/>
      <c r="KBN50" s="159"/>
      <c r="KBO50" s="159"/>
      <c r="KBP50" s="159"/>
      <c r="KBQ50" s="159"/>
      <c r="KBR50" s="159"/>
      <c r="KBS50" s="159"/>
      <c r="KBT50" s="159"/>
      <c r="KBU50" s="159"/>
      <c r="KBV50" s="159"/>
      <c r="KBW50" s="159"/>
      <c r="KBX50" s="159"/>
      <c r="KBY50" s="159"/>
      <c r="KBZ50" s="159"/>
      <c r="KCA50" s="159"/>
      <c r="KCB50" s="159"/>
      <c r="KCC50" s="159"/>
      <c r="KCD50" s="159"/>
      <c r="KCE50" s="159"/>
      <c r="KCF50" s="159"/>
      <c r="KCG50" s="159"/>
      <c r="KCH50" s="159"/>
      <c r="KCI50" s="159"/>
      <c r="KCJ50" s="159"/>
      <c r="KCK50" s="159"/>
      <c r="KCL50" s="159"/>
      <c r="KCM50" s="159"/>
      <c r="KCN50" s="159"/>
      <c r="KCO50" s="159"/>
      <c r="KCP50" s="159"/>
      <c r="KCQ50" s="159"/>
      <c r="KCR50" s="159"/>
      <c r="KCS50" s="159"/>
      <c r="KCT50" s="159"/>
      <c r="KCU50" s="159"/>
      <c r="KCV50" s="159"/>
      <c r="KCW50" s="159"/>
      <c r="KCX50" s="159"/>
      <c r="KCY50" s="159"/>
      <c r="KCZ50" s="159"/>
      <c r="KDA50" s="159"/>
      <c r="KDB50" s="159"/>
      <c r="KDC50" s="159"/>
      <c r="KDD50" s="159"/>
      <c r="KDE50" s="159"/>
      <c r="KDF50" s="159"/>
      <c r="KDG50" s="159"/>
      <c r="KDH50" s="159"/>
      <c r="KDI50" s="159"/>
      <c r="KDJ50" s="159"/>
      <c r="KDK50" s="159"/>
      <c r="KDL50" s="159"/>
      <c r="KDM50" s="159"/>
      <c r="KDN50" s="159"/>
      <c r="KDO50" s="159"/>
      <c r="KDP50" s="159"/>
      <c r="KDQ50" s="159"/>
      <c r="KDR50" s="159"/>
      <c r="KDS50" s="159"/>
      <c r="KDT50" s="159"/>
      <c r="KDU50" s="159"/>
      <c r="KDV50" s="159"/>
      <c r="KDW50" s="159"/>
      <c r="KDX50" s="159"/>
      <c r="KDY50" s="159"/>
      <c r="KDZ50" s="159"/>
      <c r="KEA50" s="159"/>
      <c r="KEB50" s="159"/>
      <c r="KEC50" s="159"/>
      <c r="KED50" s="159"/>
      <c r="KEE50" s="159"/>
      <c r="KEF50" s="159"/>
      <c r="KEG50" s="159"/>
      <c r="KEH50" s="159"/>
      <c r="KEI50" s="159"/>
      <c r="KEJ50" s="159"/>
      <c r="KEK50" s="159"/>
      <c r="KEL50" s="159"/>
      <c r="KEM50" s="159"/>
      <c r="KEN50" s="159"/>
      <c r="KEO50" s="159"/>
      <c r="KEP50" s="159"/>
      <c r="KEQ50" s="159"/>
      <c r="KER50" s="159"/>
      <c r="KES50" s="159"/>
      <c r="KET50" s="159"/>
      <c r="KEU50" s="159"/>
      <c r="KEV50" s="159"/>
      <c r="KEW50" s="159"/>
      <c r="KEX50" s="159"/>
      <c r="KEY50" s="159"/>
      <c r="KEZ50" s="159"/>
      <c r="KFA50" s="159"/>
      <c r="KFB50" s="159"/>
      <c r="KFC50" s="159"/>
      <c r="KFD50" s="159"/>
      <c r="KFE50" s="159"/>
      <c r="KFF50" s="159"/>
      <c r="KFG50" s="159"/>
      <c r="KFH50" s="159"/>
      <c r="KFI50" s="159"/>
      <c r="KFJ50" s="159"/>
      <c r="KFK50" s="159"/>
      <c r="KFL50" s="159"/>
      <c r="KFM50" s="159"/>
      <c r="KFN50" s="159"/>
      <c r="KFO50" s="159"/>
      <c r="KFP50" s="159"/>
      <c r="KFQ50" s="159"/>
      <c r="KFR50" s="159"/>
      <c r="KFS50" s="159"/>
      <c r="KFT50" s="159"/>
      <c r="KFU50" s="159"/>
      <c r="KFV50" s="159"/>
      <c r="KFW50" s="159"/>
      <c r="KFX50" s="159"/>
      <c r="KFY50" s="159"/>
      <c r="KFZ50" s="159"/>
      <c r="KGA50" s="159"/>
      <c r="KGB50" s="159"/>
      <c r="KGC50" s="159"/>
      <c r="KGD50" s="159"/>
      <c r="KGE50" s="159"/>
      <c r="KGF50" s="159"/>
      <c r="KGG50" s="159"/>
      <c r="KGH50" s="159"/>
      <c r="KGI50" s="159"/>
      <c r="KGJ50" s="159"/>
      <c r="KGK50" s="159"/>
      <c r="KGL50" s="159"/>
      <c r="KGM50" s="159"/>
      <c r="KGN50" s="159"/>
      <c r="KGO50" s="159"/>
      <c r="KGP50" s="159"/>
      <c r="KGQ50" s="159"/>
      <c r="KGR50" s="159"/>
      <c r="KGS50" s="159"/>
      <c r="KGT50" s="159"/>
      <c r="KGU50" s="159"/>
      <c r="KGV50" s="159"/>
      <c r="KGW50" s="159"/>
      <c r="KGX50" s="159"/>
      <c r="KGY50" s="159"/>
      <c r="KGZ50" s="159"/>
      <c r="KHA50" s="159"/>
      <c r="KHB50" s="159"/>
      <c r="KHC50" s="159"/>
      <c r="KHD50" s="159"/>
      <c r="KHE50" s="159"/>
      <c r="KHF50" s="159"/>
      <c r="KHG50" s="159"/>
      <c r="KHH50" s="159"/>
      <c r="KHI50" s="159"/>
      <c r="KHJ50" s="159"/>
      <c r="KHK50" s="159"/>
      <c r="KHL50" s="159"/>
      <c r="KHM50" s="159"/>
      <c r="KHN50" s="159"/>
      <c r="KHO50" s="159"/>
      <c r="KHP50" s="159"/>
      <c r="KHQ50" s="159"/>
      <c r="KHR50" s="159"/>
      <c r="KHS50" s="159"/>
      <c r="KHT50" s="159"/>
      <c r="KHU50" s="159"/>
      <c r="KHV50" s="159"/>
      <c r="KHW50" s="159"/>
      <c r="KHX50" s="159"/>
      <c r="KHY50" s="159"/>
      <c r="KHZ50" s="159"/>
      <c r="KIA50" s="159"/>
      <c r="KIB50" s="159"/>
      <c r="KIC50" s="159"/>
      <c r="KID50" s="159"/>
      <c r="KIE50" s="159"/>
      <c r="KIF50" s="159"/>
      <c r="KIG50" s="159"/>
      <c r="KIH50" s="159"/>
      <c r="KII50" s="159"/>
      <c r="KIJ50" s="159"/>
      <c r="KIK50" s="159"/>
      <c r="KIL50" s="159"/>
      <c r="KIM50" s="159"/>
      <c r="KIN50" s="159"/>
      <c r="KIO50" s="159"/>
      <c r="KIP50" s="159"/>
      <c r="KIQ50" s="159"/>
      <c r="KIR50" s="159"/>
      <c r="KIS50" s="159"/>
      <c r="KIT50" s="159"/>
      <c r="KIU50" s="159"/>
      <c r="KIV50" s="159"/>
      <c r="KIW50" s="159"/>
      <c r="KIX50" s="159"/>
      <c r="KIY50" s="159"/>
      <c r="KIZ50" s="159"/>
      <c r="KJA50" s="159"/>
      <c r="KJB50" s="159"/>
      <c r="KJC50" s="159"/>
      <c r="KJD50" s="159"/>
      <c r="KJE50" s="159"/>
      <c r="KJF50" s="159"/>
      <c r="KJG50" s="159"/>
      <c r="KJH50" s="159"/>
      <c r="KJI50" s="159"/>
      <c r="KJJ50" s="159"/>
      <c r="KJK50" s="159"/>
      <c r="KJL50" s="159"/>
      <c r="KJM50" s="159"/>
      <c r="KJN50" s="159"/>
      <c r="KJO50" s="159"/>
      <c r="KJP50" s="159"/>
      <c r="KJQ50" s="159"/>
      <c r="KJR50" s="159"/>
      <c r="KJS50" s="159"/>
      <c r="KJT50" s="159"/>
      <c r="KJU50" s="159"/>
      <c r="KJV50" s="159"/>
      <c r="KJW50" s="159"/>
      <c r="KJX50" s="159"/>
      <c r="KJY50" s="159"/>
      <c r="KJZ50" s="159"/>
      <c r="KKA50" s="159"/>
      <c r="KKB50" s="159"/>
      <c r="KKC50" s="159"/>
      <c r="KKD50" s="159"/>
      <c r="KKE50" s="159"/>
      <c r="KKF50" s="159"/>
      <c r="KKG50" s="159"/>
      <c r="KKH50" s="159"/>
      <c r="KKI50" s="159"/>
      <c r="KKJ50" s="159"/>
      <c r="KKK50" s="159"/>
      <c r="KKL50" s="159"/>
      <c r="KKM50" s="159"/>
      <c r="KKN50" s="159"/>
      <c r="KKO50" s="159"/>
      <c r="KKP50" s="159"/>
      <c r="KKQ50" s="159"/>
      <c r="KKR50" s="159"/>
      <c r="KKS50" s="159"/>
      <c r="KKT50" s="159"/>
      <c r="KKU50" s="159"/>
      <c r="KKV50" s="159"/>
      <c r="KKW50" s="159"/>
      <c r="KKX50" s="159"/>
      <c r="KKY50" s="159"/>
      <c r="KKZ50" s="159"/>
      <c r="KLA50" s="159"/>
      <c r="KLB50" s="159"/>
      <c r="KLC50" s="159"/>
      <c r="KLD50" s="159"/>
      <c r="KLE50" s="159"/>
      <c r="KLF50" s="159"/>
      <c r="KLG50" s="159"/>
      <c r="KLH50" s="159"/>
      <c r="KLI50" s="159"/>
      <c r="KLJ50" s="159"/>
      <c r="KLK50" s="159"/>
      <c r="KLL50" s="159"/>
      <c r="KLM50" s="159"/>
      <c r="KLN50" s="159"/>
      <c r="KLO50" s="159"/>
      <c r="KLP50" s="159"/>
      <c r="KLQ50" s="159"/>
      <c r="KLR50" s="159"/>
      <c r="KLS50" s="159"/>
      <c r="KLT50" s="159"/>
      <c r="KLU50" s="159"/>
      <c r="KLV50" s="159"/>
      <c r="KLW50" s="159"/>
      <c r="KLX50" s="159"/>
      <c r="KLY50" s="159"/>
      <c r="KLZ50" s="159"/>
      <c r="KMA50" s="159"/>
      <c r="KMB50" s="159"/>
      <c r="KMC50" s="159"/>
      <c r="KMD50" s="159"/>
      <c r="KME50" s="159"/>
      <c r="KMF50" s="159"/>
      <c r="KMG50" s="159"/>
      <c r="KMH50" s="159"/>
      <c r="KMI50" s="159"/>
      <c r="KMJ50" s="159"/>
      <c r="KMK50" s="159"/>
      <c r="KML50" s="159"/>
      <c r="KMM50" s="159"/>
      <c r="KMN50" s="159"/>
      <c r="KMO50" s="159"/>
      <c r="KMP50" s="159"/>
      <c r="KMQ50" s="159"/>
      <c r="KMR50" s="159"/>
      <c r="KMS50" s="159"/>
      <c r="KMT50" s="159"/>
      <c r="KMU50" s="159"/>
      <c r="KMV50" s="159"/>
      <c r="KMW50" s="159"/>
      <c r="KMX50" s="159"/>
      <c r="KMY50" s="159"/>
      <c r="KMZ50" s="159"/>
      <c r="KNA50" s="159"/>
      <c r="KNB50" s="159"/>
      <c r="KNC50" s="159"/>
      <c r="KND50" s="159"/>
      <c r="KNE50" s="159"/>
      <c r="KNF50" s="159"/>
      <c r="KNG50" s="159"/>
      <c r="KNH50" s="159"/>
      <c r="KNI50" s="159"/>
      <c r="KNJ50" s="159"/>
      <c r="KNK50" s="159"/>
      <c r="KNL50" s="159"/>
      <c r="KNM50" s="159"/>
      <c r="KNN50" s="159"/>
      <c r="KNO50" s="159"/>
      <c r="KNP50" s="159"/>
      <c r="KNQ50" s="159"/>
      <c r="KNR50" s="159"/>
      <c r="KNS50" s="159"/>
      <c r="KNT50" s="159"/>
      <c r="KNU50" s="159"/>
      <c r="KNV50" s="159"/>
      <c r="KNW50" s="159"/>
      <c r="KNX50" s="159"/>
      <c r="KNY50" s="159"/>
      <c r="KNZ50" s="159"/>
      <c r="KOA50" s="159"/>
      <c r="KOB50" s="159"/>
      <c r="KOC50" s="159"/>
      <c r="KOD50" s="159"/>
      <c r="KOE50" s="159"/>
      <c r="KOF50" s="159"/>
      <c r="KOG50" s="159"/>
      <c r="KOH50" s="159"/>
      <c r="KOI50" s="159"/>
      <c r="KOJ50" s="159"/>
      <c r="KOK50" s="159"/>
      <c r="KOL50" s="159"/>
      <c r="KOM50" s="159"/>
      <c r="KON50" s="159"/>
      <c r="KOO50" s="159"/>
      <c r="KOP50" s="159"/>
      <c r="KOQ50" s="159"/>
      <c r="KOR50" s="159"/>
      <c r="KOS50" s="159"/>
      <c r="KOT50" s="159"/>
      <c r="KOU50" s="159"/>
      <c r="KOV50" s="159"/>
      <c r="KOW50" s="159"/>
      <c r="KOX50" s="159"/>
      <c r="KOY50" s="159"/>
      <c r="KOZ50" s="159"/>
      <c r="KPA50" s="159"/>
      <c r="KPB50" s="159"/>
      <c r="KPC50" s="159"/>
      <c r="KPD50" s="159"/>
      <c r="KPE50" s="159"/>
      <c r="KPF50" s="159"/>
      <c r="KPG50" s="159"/>
      <c r="KPH50" s="159"/>
      <c r="KPI50" s="159"/>
      <c r="KPJ50" s="159"/>
      <c r="KPK50" s="159"/>
      <c r="KPL50" s="159"/>
      <c r="KPM50" s="159"/>
      <c r="KPN50" s="159"/>
      <c r="KPO50" s="159"/>
      <c r="KPP50" s="159"/>
      <c r="KPQ50" s="159"/>
      <c r="KPR50" s="159"/>
      <c r="KPS50" s="159"/>
      <c r="KPT50" s="159"/>
      <c r="KPU50" s="159"/>
      <c r="KPV50" s="159"/>
      <c r="KPW50" s="159"/>
      <c r="KPX50" s="159"/>
      <c r="KPY50" s="159"/>
      <c r="KPZ50" s="159"/>
      <c r="KQA50" s="159"/>
      <c r="KQB50" s="159"/>
      <c r="KQC50" s="159"/>
      <c r="KQD50" s="159"/>
      <c r="KQE50" s="159"/>
      <c r="KQF50" s="159"/>
      <c r="KQG50" s="159"/>
      <c r="KQH50" s="159"/>
      <c r="KQI50" s="159"/>
      <c r="KQJ50" s="159"/>
      <c r="KQK50" s="159"/>
      <c r="KQL50" s="159"/>
      <c r="KQM50" s="159"/>
      <c r="KQN50" s="159"/>
      <c r="KQO50" s="159"/>
      <c r="KQP50" s="159"/>
      <c r="KQQ50" s="159"/>
      <c r="KQR50" s="159"/>
      <c r="KQS50" s="159"/>
      <c r="KQT50" s="159"/>
      <c r="KQU50" s="159"/>
      <c r="KQV50" s="159"/>
      <c r="KQW50" s="159"/>
      <c r="KQX50" s="159"/>
      <c r="KQY50" s="159"/>
      <c r="KQZ50" s="159"/>
      <c r="KRA50" s="159"/>
      <c r="KRB50" s="159"/>
      <c r="KRC50" s="159"/>
      <c r="KRD50" s="159"/>
      <c r="KRE50" s="159"/>
      <c r="KRF50" s="159"/>
      <c r="KRG50" s="159"/>
      <c r="KRH50" s="159"/>
      <c r="KRI50" s="159"/>
      <c r="KRJ50" s="159"/>
      <c r="KRK50" s="159"/>
      <c r="KRL50" s="159"/>
      <c r="KRM50" s="159"/>
      <c r="KRN50" s="159"/>
      <c r="KRO50" s="159"/>
      <c r="KRP50" s="159"/>
      <c r="KRQ50" s="159"/>
      <c r="KRR50" s="159"/>
      <c r="KRS50" s="159"/>
      <c r="KRT50" s="159"/>
      <c r="KRU50" s="159"/>
      <c r="KRV50" s="159"/>
      <c r="KRW50" s="159"/>
      <c r="KRX50" s="159"/>
      <c r="KRY50" s="159"/>
      <c r="KRZ50" s="159"/>
      <c r="KSA50" s="159"/>
      <c r="KSB50" s="159"/>
      <c r="KSC50" s="159"/>
      <c r="KSD50" s="159"/>
      <c r="KSE50" s="159"/>
      <c r="KSF50" s="159"/>
      <c r="KSG50" s="159"/>
      <c r="KSH50" s="159"/>
      <c r="KSI50" s="159"/>
      <c r="KSJ50" s="159"/>
      <c r="KSK50" s="159"/>
      <c r="KSL50" s="159"/>
      <c r="KSM50" s="159"/>
      <c r="KSN50" s="159"/>
      <c r="KSO50" s="159"/>
      <c r="KSP50" s="159"/>
      <c r="KSQ50" s="159"/>
      <c r="KSR50" s="159"/>
      <c r="KSS50" s="159"/>
      <c r="KST50" s="159"/>
      <c r="KSU50" s="159"/>
      <c r="KSV50" s="159"/>
      <c r="KSW50" s="159"/>
      <c r="KSX50" s="159"/>
      <c r="KSY50" s="159"/>
      <c r="KSZ50" s="159"/>
      <c r="KTA50" s="159"/>
      <c r="KTB50" s="159"/>
      <c r="KTC50" s="159"/>
      <c r="KTD50" s="159"/>
      <c r="KTE50" s="159"/>
      <c r="KTF50" s="159"/>
      <c r="KTG50" s="159"/>
      <c r="KTH50" s="159"/>
      <c r="KTI50" s="159"/>
      <c r="KTJ50" s="159"/>
      <c r="KTK50" s="159"/>
      <c r="KTL50" s="159"/>
      <c r="KTM50" s="159"/>
      <c r="KTN50" s="159"/>
      <c r="KTO50" s="159"/>
      <c r="KTP50" s="159"/>
      <c r="KTQ50" s="159"/>
      <c r="KTR50" s="159"/>
      <c r="KTS50" s="159"/>
      <c r="KTT50" s="159"/>
      <c r="KTU50" s="159"/>
      <c r="KTV50" s="159"/>
      <c r="KTW50" s="159"/>
      <c r="KTX50" s="159"/>
      <c r="KTY50" s="159"/>
      <c r="KTZ50" s="159"/>
      <c r="KUA50" s="159"/>
      <c r="KUB50" s="159"/>
      <c r="KUC50" s="159"/>
      <c r="KUD50" s="159"/>
      <c r="KUE50" s="159"/>
      <c r="KUF50" s="159"/>
      <c r="KUG50" s="159"/>
      <c r="KUH50" s="159"/>
      <c r="KUI50" s="159"/>
      <c r="KUJ50" s="159"/>
      <c r="KUK50" s="159"/>
      <c r="KUL50" s="159"/>
      <c r="KUM50" s="159"/>
      <c r="KUN50" s="159"/>
      <c r="KUO50" s="159"/>
      <c r="KUP50" s="159"/>
      <c r="KUQ50" s="159"/>
      <c r="KUR50" s="159"/>
      <c r="KUS50" s="159"/>
      <c r="KUT50" s="159"/>
      <c r="KUU50" s="159"/>
      <c r="KUV50" s="159"/>
      <c r="KUW50" s="159"/>
      <c r="KUX50" s="159"/>
      <c r="KUY50" s="159"/>
      <c r="KUZ50" s="159"/>
      <c r="KVA50" s="159"/>
      <c r="KVB50" s="159"/>
      <c r="KVC50" s="159"/>
      <c r="KVD50" s="159"/>
      <c r="KVE50" s="159"/>
      <c r="KVF50" s="159"/>
      <c r="KVG50" s="159"/>
      <c r="KVH50" s="159"/>
      <c r="KVI50" s="159"/>
      <c r="KVJ50" s="159"/>
      <c r="KVK50" s="159"/>
      <c r="KVL50" s="159"/>
      <c r="KVM50" s="159"/>
      <c r="KVN50" s="159"/>
      <c r="KVO50" s="159"/>
      <c r="KVP50" s="159"/>
      <c r="KVQ50" s="159"/>
      <c r="KVR50" s="159"/>
      <c r="KVS50" s="159"/>
      <c r="KVT50" s="159"/>
      <c r="KVU50" s="159"/>
      <c r="KVV50" s="159"/>
      <c r="KVW50" s="159"/>
      <c r="KVX50" s="159"/>
      <c r="KVY50" s="159"/>
      <c r="KVZ50" s="159"/>
      <c r="KWA50" s="159"/>
      <c r="KWB50" s="159"/>
      <c r="KWC50" s="159"/>
      <c r="KWD50" s="159"/>
      <c r="KWE50" s="159"/>
      <c r="KWF50" s="159"/>
      <c r="KWG50" s="159"/>
      <c r="KWH50" s="159"/>
      <c r="KWI50" s="159"/>
      <c r="KWJ50" s="159"/>
      <c r="KWK50" s="159"/>
      <c r="KWL50" s="159"/>
      <c r="KWM50" s="159"/>
      <c r="KWN50" s="159"/>
      <c r="KWO50" s="159"/>
      <c r="KWP50" s="159"/>
      <c r="KWQ50" s="159"/>
      <c r="KWR50" s="159"/>
      <c r="KWS50" s="159"/>
      <c r="KWT50" s="159"/>
      <c r="KWU50" s="159"/>
      <c r="KWV50" s="159"/>
      <c r="KWW50" s="159"/>
      <c r="KWX50" s="159"/>
      <c r="KWY50" s="159"/>
      <c r="KWZ50" s="159"/>
      <c r="KXA50" s="159"/>
      <c r="KXB50" s="159"/>
      <c r="KXC50" s="159"/>
      <c r="KXD50" s="159"/>
      <c r="KXE50" s="159"/>
      <c r="KXF50" s="159"/>
      <c r="KXG50" s="159"/>
      <c r="KXH50" s="159"/>
      <c r="KXI50" s="159"/>
      <c r="KXJ50" s="159"/>
      <c r="KXK50" s="159"/>
      <c r="KXL50" s="159"/>
      <c r="KXM50" s="159"/>
      <c r="KXN50" s="159"/>
      <c r="KXO50" s="159"/>
      <c r="KXP50" s="159"/>
      <c r="KXQ50" s="159"/>
      <c r="KXR50" s="159"/>
      <c r="KXS50" s="159"/>
      <c r="KXT50" s="159"/>
      <c r="KXU50" s="159"/>
      <c r="KXV50" s="159"/>
      <c r="KXW50" s="159"/>
      <c r="KXX50" s="159"/>
      <c r="KXY50" s="159"/>
      <c r="KXZ50" s="159"/>
      <c r="KYA50" s="159"/>
      <c r="KYB50" s="159"/>
      <c r="KYC50" s="159"/>
      <c r="KYD50" s="159"/>
      <c r="KYE50" s="159"/>
      <c r="KYF50" s="159"/>
      <c r="KYG50" s="159"/>
      <c r="KYH50" s="159"/>
      <c r="KYI50" s="159"/>
      <c r="KYJ50" s="159"/>
      <c r="KYK50" s="159"/>
      <c r="KYL50" s="159"/>
      <c r="KYM50" s="159"/>
      <c r="KYN50" s="159"/>
      <c r="KYO50" s="159"/>
      <c r="KYP50" s="159"/>
      <c r="KYQ50" s="159"/>
      <c r="KYR50" s="159"/>
      <c r="KYS50" s="159"/>
      <c r="KYT50" s="159"/>
      <c r="KYU50" s="159"/>
      <c r="KYV50" s="159"/>
      <c r="KYW50" s="159"/>
      <c r="KYX50" s="159"/>
      <c r="KYY50" s="159"/>
      <c r="KYZ50" s="159"/>
      <c r="KZA50" s="159"/>
      <c r="KZB50" s="159"/>
      <c r="KZC50" s="159"/>
      <c r="KZD50" s="159"/>
      <c r="KZE50" s="159"/>
      <c r="KZF50" s="159"/>
      <c r="KZG50" s="159"/>
      <c r="KZH50" s="159"/>
      <c r="KZI50" s="159"/>
      <c r="KZJ50" s="159"/>
      <c r="KZK50" s="159"/>
      <c r="KZL50" s="159"/>
      <c r="KZM50" s="159"/>
      <c r="KZN50" s="159"/>
      <c r="KZO50" s="159"/>
      <c r="KZP50" s="159"/>
      <c r="KZQ50" s="159"/>
      <c r="KZR50" s="159"/>
      <c r="KZS50" s="159"/>
      <c r="KZT50" s="159"/>
      <c r="KZU50" s="159"/>
      <c r="KZV50" s="159"/>
      <c r="KZW50" s="159"/>
      <c r="KZX50" s="159"/>
      <c r="KZY50" s="159"/>
      <c r="KZZ50" s="159"/>
      <c r="LAA50" s="159"/>
      <c r="LAB50" s="159"/>
      <c r="LAC50" s="159"/>
      <c r="LAD50" s="159"/>
      <c r="LAE50" s="159"/>
      <c r="LAF50" s="159"/>
      <c r="LAG50" s="159"/>
      <c r="LAH50" s="159"/>
      <c r="LAI50" s="159"/>
      <c r="LAJ50" s="159"/>
      <c r="LAK50" s="159"/>
      <c r="LAL50" s="159"/>
      <c r="LAM50" s="159"/>
      <c r="LAN50" s="159"/>
      <c r="LAO50" s="159"/>
      <c r="LAP50" s="159"/>
      <c r="LAQ50" s="159"/>
      <c r="LAR50" s="159"/>
      <c r="LAS50" s="159"/>
      <c r="LAT50" s="159"/>
      <c r="LAU50" s="159"/>
      <c r="LAV50" s="159"/>
      <c r="LAW50" s="159"/>
      <c r="LAX50" s="159"/>
      <c r="LAY50" s="159"/>
      <c r="LAZ50" s="159"/>
      <c r="LBA50" s="159"/>
      <c r="LBB50" s="159"/>
      <c r="LBC50" s="159"/>
      <c r="LBD50" s="159"/>
      <c r="LBE50" s="159"/>
      <c r="LBF50" s="159"/>
      <c r="LBG50" s="159"/>
      <c r="LBH50" s="159"/>
      <c r="LBI50" s="159"/>
      <c r="LBJ50" s="159"/>
      <c r="LBK50" s="159"/>
      <c r="LBL50" s="159"/>
      <c r="LBM50" s="159"/>
      <c r="LBN50" s="159"/>
      <c r="LBO50" s="159"/>
      <c r="LBP50" s="159"/>
      <c r="LBQ50" s="159"/>
      <c r="LBR50" s="159"/>
      <c r="LBS50" s="159"/>
      <c r="LBT50" s="159"/>
      <c r="LBU50" s="159"/>
      <c r="LBV50" s="159"/>
      <c r="LBW50" s="159"/>
      <c r="LBX50" s="159"/>
      <c r="LBY50" s="159"/>
      <c r="LBZ50" s="159"/>
      <c r="LCA50" s="159"/>
      <c r="LCB50" s="159"/>
      <c r="LCC50" s="159"/>
      <c r="LCD50" s="159"/>
      <c r="LCE50" s="159"/>
      <c r="LCF50" s="159"/>
      <c r="LCG50" s="159"/>
      <c r="LCH50" s="159"/>
      <c r="LCI50" s="159"/>
      <c r="LCJ50" s="159"/>
      <c r="LCK50" s="159"/>
      <c r="LCL50" s="159"/>
      <c r="LCM50" s="159"/>
      <c r="LCN50" s="159"/>
      <c r="LCO50" s="159"/>
      <c r="LCP50" s="159"/>
      <c r="LCQ50" s="159"/>
      <c r="LCR50" s="159"/>
      <c r="LCS50" s="159"/>
      <c r="LCT50" s="159"/>
      <c r="LCU50" s="159"/>
      <c r="LCV50" s="159"/>
      <c r="LCW50" s="159"/>
      <c r="LCX50" s="159"/>
      <c r="LCY50" s="159"/>
      <c r="LCZ50" s="159"/>
      <c r="LDA50" s="159"/>
      <c r="LDB50" s="159"/>
      <c r="LDC50" s="159"/>
      <c r="LDD50" s="159"/>
      <c r="LDE50" s="159"/>
      <c r="LDF50" s="159"/>
      <c r="LDG50" s="159"/>
      <c r="LDH50" s="159"/>
      <c r="LDI50" s="159"/>
      <c r="LDJ50" s="159"/>
      <c r="LDK50" s="159"/>
      <c r="LDL50" s="159"/>
      <c r="LDM50" s="159"/>
      <c r="LDN50" s="159"/>
      <c r="LDO50" s="159"/>
      <c r="LDP50" s="159"/>
      <c r="LDQ50" s="159"/>
      <c r="LDR50" s="159"/>
      <c r="LDS50" s="159"/>
      <c r="LDT50" s="159"/>
      <c r="LDU50" s="159"/>
      <c r="LDV50" s="159"/>
      <c r="LDW50" s="159"/>
      <c r="LDX50" s="159"/>
      <c r="LDY50" s="159"/>
      <c r="LDZ50" s="159"/>
      <c r="LEA50" s="159"/>
      <c r="LEB50" s="159"/>
      <c r="LEC50" s="159"/>
      <c r="LED50" s="159"/>
      <c r="LEE50" s="159"/>
      <c r="LEF50" s="159"/>
      <c r="LEG50" s="159"/>
      <c r="LEH50" s="159"/>
      <c r="LEI50" s="159"/>
      <c r="LEJ50" s="159"/>
      <c r="LEK50" s="159"/>
      <c r="LEL50" s="159"/>
      <c r="LEM50" s="159"/>
      <c r="LEN50" s="159"/>
      <c r="LEO50" s="159"/>
      <c r="LEP50" s="159"/>
      <c r="LEQ50" s="159"/>
      <c r="LER50" s="159"/>
      <c r="LES50" s="159"/>
      <c r="LET50" s="159"/>
      <c r="LEU50" s="159"/>
      <c r="LEV50" s="159"/>
      <c r="LEW50" s="159"/>
      <c r="LEX50" s="159"/>
      <c r="LEY50" s="159"/>
      <c r="LEZ50" s="159"/>
      <c r="LFA50" s="159"/>
      <c r="LFB50" s="159"/>
      <c r="LFC50" s="159"/>
      <c r="LFD50" s="159"/>
      <c r="LFE50" s="159"/>
      <c r="LFF50" s="159"/>
      <c r="LFG50" s="159"/>
      <c r="LFH50" s="159"/>
      <c r="LFI50" s="159"/>
      <c r="LFJ50" s="159"/>
      <c r="LFK50" s="159"/>
      <c r="LFL50" s="159"/>
      <c r="LFM50" s="159"/>
      <c r="LFN50" s="159"/>
      <c r="LFO50" s="159"/>
      <c r="LFP50" s="159"/>
      <c r="LFQ50" s="159"/>
      <c r="LFR50" s="159"/>
      <c r="LFS50" s="159"/>
      <c r="LFT50" s="159"/>
      <c r="LFU50" s="159"/>
      <c r="LFV50" s="159"/>
      <c r="LFW50" s="159"/>
      <c r="LFX50" s="159"/>
      <c r="LFY50" s="159"/>
      <c r="LFZ50" s="159"/>
      <c r="LGA50" s="159"/>
      <c r="LGB50" s="159"/>
      <c r="LGC50" s="159"/>
      <c r="LGD50" s="159"/>
      <c r="LGE50" s="159"/>
      <c r="LGF50" s="159"/>
      <c r="LGG50" s="159"/>
      <c r="LGH50" s="159"/>
      <c r="LGI50" s="159"/>
      <c r="LGJ50" s="159"/>
      <c r="LGK50" s="159"/>
      <c r="LGL50" s="159"/>
      <c r="LGM50" s="159"/>
      <c r="LGN50" s="159"/>
      <c r="LGO50" s="159"/>
      <c r="LGP50" s="159"/>
      <c r="LGQ50" s="159"/>
      <c r="LGR50" s="159"/>
      <c r="LGS50" s="159"/>
      <c r="LGT50" s="159"/>
      <c r="LGU50" s="159"/>
      <c r="LGV50" s="159"/>
      <c r="LGW50" s="159"/>
      <c r="LGX50" s="159"/>
      <c r="LGY50" s="159"/>
      <c r="LGZ50" s="159"/>
      <c r="LHA50" s="159"/>
      <c r="LHB50" s="159"/>
      <c r="LHC50" s="159"/>
      <c r="LHD50" s="159"/>
      <c r="LHE50" s="159"/>
      <c r="LHF50" s="159"/>
      <c r="LHG50" s="159"/>
      <c r="LHH50" s="159"/>
      <c r="LHI50" s="159"/>
      <c r="LHJ50" s="159"/>
      <c r="LHK50" s="159"/>
      <c r="LHL50" s="159"/>
      <c r="LHM50" s="159"/>
      <c r="LHN50" s="159"/>
      <c r="LHO50" s="159"/>
      <c r="LHP50" s="159"/>
      <c r="LHQ50" s="159"/>
      <c r="LHR50" s="159"/>
      <c r="LHS50" s="159"/>
      <c r="LHT50" s="159"/>
      <c r="LHU50" s="159"/>
      <c r="LHV50" s="159"/>
      <c r="LHW50" s="159"/>
      <c r="LHX50" s="159"/>
      <c r="LHY50" s="159"/>
      <c r="LHZ50" s="159"/>
      <c r="LIA50" s="159"/>
      <c r="LIB50" s="159"/>
      <c r="LIC50" s="159"/>
      <c r="LID50" s="159"/>
      <c r="LIE50" s="159"/>
      <c r="LIF50" s="159"/>
      <c r="LIG50" s="159"/>
      <c r="LIH50" s="159"/>
      <c r="LII50" s="159"/>
      <c r="LIJ50" s="159"/>
      <c r="LIK50" s="159"/>
      <c r="LIL50" s="159"/>
      <c r="LIM50" s="159"/>
      <c r="LIN50" s="159"/>
      <c r="LIO50" s="159"/>
      <c r="LIP50" s="159"/>
      <c r="LIQ50" s="159"/>
      <c r="LIR50" s="159"/>
      <c r="LIS50" s="159"/>
      <c r="LIT50" s="159"/>
      <c r="LIU50" s="159"/>
      <c r="LIV50" s="159"/>
      <c r="LIW50" s="159"/>
      <c r="LIX50" s="159"/>
      <c r="LIY50" s="159"/>
      <c r="LIZ50" s="159"/>
      <c r="LJA50" s="159"/>
      <c r="LJB50" s="159"/>
      <c r="LJC50" s="159"/>
      <c r="LJD50" s="159"/>
      <c r="LJE50" s="159"/>
      <c r="LJF50" s="159"/>
      <c r="LJG50" s="159"/>
      <c r="LJH50" s="159"/>
      <c r="LJI50" s="159"/>
      <c r="LJJ50" s="159"/>
      <c r="LJK50" s="159"/>
      <c r="LJL50" s="159"/>
      <c r="LJM50" s="159"/>
      <c r="LJN50" s="159"/>
      <c r="LJO50" s="159"/>
      <c r="LJP50" s="159"/>
      <c r="LJQ50" s="159"/>
      <c r="LJR50" s="159"/>
      <c r="LJS50" s="159"/>
      <c r="LJT50" s="159"/>
      <c r="LJU50" s="159"/>
      <c r="LJV50" s="159"/>
      <c r="LJW50" s="159"/>
      <c r="LJX50" s="159"/>
      <c r="LJY50" s="159"/>
      <c r="LJZ50" s="159"/>
      <c r="LKA50" s="159"/>
      <c r="LKB50" s="159"/>
      <c r="LKC50" s="159"/>
      <c r="LKD50" s="159"/>
      <c r="LKE50" s="159"/>
      <c r="LKF50" s="159"/>
      <c r="LKG50" s="159"/>
      <c r="LKH50" s="159"/>
      <c r="LKI50" s="159"/>
      <c r="LKJ50" s="159"/>
      <c r="LKK50" s="159"/>
      <c r="LKL50" s="159"/>
      <c r="LKM50" s="159"/>
      <c r="LKN50" s="159"/>
      <c r="LKO50" s="159"/>
      <c r="LKP50" s="159"/>
      <c r="LKQ50" s="159"/>
      <c r="LKR50" s="159"/>
      <c r="LKS50" s="159"/>
      <c r="LKT50" s="159"/>
      <c r="LKU50" s="159"/>
      <c r="LKV50" s="159"/>
      <c r="LKW50" s="159"/>
      <c r="LKX50" s="159"/>
      <c r="LKY50" s="159"/>
      <c r="LKZ50" s="159"/>
      <c r="LLA50" s="159"/>
      <c r="LLB50" s="159"/>
      <c r="LLC50" s="159"/>
      <c r="LLD50" s="159"/>
      <c r="LLE50" s="159"/>
      <c r="LLF50" s="159"/>
      <c r="LLG50" s="159"/>
      <c r="LLH50" s="159"/>
      <c r="LLI50" s="159"/>
      <c r="LLJ50" s="159"/>
      <c r="LLK50" s="159"/>
      <c r="LLL50" s="159"/>
      <c r="LLM50" s="159"/>
      <c r="LLN50" s="159"/>
      <c r="LLO50" s="159"/>
      <c r="LLP50" s="159"/>
      <c r="LLQ50" s="159"/>
      <c r="LLR50" s="159"/>
      <c r="LLS50" s="159"/>
      <c r="LLT50" s="159"/>
      <c r="LLU50" s="159"/>
      <c r="LLV50" s="159"/>
      <c r="LLW50" s="159"/>
      <c r="LLX50" s="159"/>
      <c r="LLY50" s="159"/>
      <c r="LLZ50" s="159"/>
      <c r="LMA50" s="159"/>
      <c r="LMB50" s="159"/>
      <c r="LMC50" s="159"/>
      <c r="LMD50" s="159"/>
      <c r="LME50" s="159"/>
      <c r="LMF50" s="159"/>
      <c r="LMG50" s="159"/>
      <c r="LMH50" s="159"/>
      <c r="LMI50" s="159"/>
      <c r="LMJ50" s="159"/>
      <c r="LMK50" s="159"/>
      <c r="LML50" s="159"/>
      <c r="LMM50" s="159"/>
      <c r="LMN50" s="159"/>
      <c r="LMO50" s="159"/>
      <c r="LMP50" s="159"/>
      <c r="LMQ50" s="159"/>
      <c r="LMR50" s="159"/>
      <c r="LMS50" s="159"/>
      <c r="LMT50" s="159"/>
      <c r="LMU50" s="159"/>
      <c r="LMV50" s="159"/>
      <c r="LMW50" s="159"/>
      <c r="LMX50" s="159"/>
      <c r="LMY50" s="159"/>
      <c r="LMZ50" s="159"/>
      <c r="LNA50" s="159"/>
      <c r="LNB50" s="159"/>
      <c r="LNC50" s="159"/>
      <c r="LND50" s="159"/>
      <c r="LNE50" s="159"/>
      <c r="LNF50" s="159"/>
      <c r="LNG50" s="159"/>
      <c r="LNH50" s="159"/>
      <c r="LNI50" s="159"/>
      <c r="LNJ50" s="159"/>
      <c r="LNK50" s="159"/>
      <c r="LNL50" s="159"/>
      <c r="LNM50" s="159"/>
      <c r="LNN50" s="159"/>
      <c r="LNO50" s="159"/>
      <c r="LNP50" s="159"/>
      <c r="LNQ50" s="159"/>
      <c r="LNR50" s="159"/>
      <c r="LNS50" s="159"/>
      <c r="LNT50" s="159"/>
      <c r="LNU50" s="159"/>
      <c r="LNV50" s="159"/>
      <c r="LNW50" s="159"/>
      <c r="LNX50" s="159"/>
      <c r="LNY50" s="159"/>
      <c r="LNZ50" s="159"/>
      <c r="LOA50" s="159"/>
      <c r="LOB50" s="159"/>
      <c r="LOC50" s="159"/>
      <c r="LOD50" s="159"/>
      <c r="LOE50" s="159"/>
      <c r="LOF50" s="159"/>
      <c r="LOG50" s="159"/>
      <c r="LOH50" s="159"/>
      <c r="LOI50" s="159"/>
      <c r="LOJ50" s="159"/>
      <c r="LOK50" s="159"/>
      <c r="LOL50" s="159"/>
      <c r="LOM50" s="159"/>
      <c r="LON50" s="159"/>
      <c r="LOO50" s="159"/>
      <c r="LOP50" s="159"/>
      <c r="LOQ50" s="159"/>
      <c r="LOR50" s="159"/>
      <c r="LOS50" s="159"/>
      <c r="LOT50" s="159"/>
      <c r="LOU50" s="159"/>
      <c r="LOV50" s="159"/>
      <c r="LOW50" s="159"/>
      <c r="LOX50" s="159"/>
      <c r="LOY50" s="159"/>
      <c r="LOZ50" s="159"/>
      <c r="LPA50" s="159"/>
      <c r="LPB50" s="159"/>
      <c r="LPC50" s="159"/>
      <c r="LPD50" s="159"/>
      <c r="LPE50" s="159"/>
      <c r="LPF50" s="159"/>
      <c r="LPG50" s="159"/>
      <c r="LPH50" s="159"/>
      <c r="LPI50" s="159"/>
      <c r="LPJ50" s="159"/>
      <c r="LPK50" s="159"/>
      <c r="LPL50" s="159"/>
      <c r="LPM50" s="159"/>
      <c r="LPN50" s="159"/>
      <c r="LPO50" s="159"/>
      <c r="LPP50" s="159"/>
      <c r="LPQ50" s="159"/>
      <c r="LPR50" s="159"/>
      <c r="LPS50" s="159"/>
      <c r="LPT50" s="159"/>
      <c r="LPU50" s="159"/>
      <c r="LPV50" s="159"/>
      <c r="LPW50" s="159"/>
      <c r="LPX50" s="159"/>
      <c r="LPY50" s="159"/>
      <c r="LPZ50" s="159"/>
      <c r="LQA50" s="159"/>
      <c r="LQB50" s="159"/>
      <c r="LQC50" s="159"/>
      <c r="LQD50" s="159"/>
      <c r="LQE50" s="159"/>
      <c r="LQF50" s="159"/>
      <c r="LQG50" s="159"/>
      <c r="LQH50" s="159"/>
      <c r="LQI50" s="159"/>
      <c r="LQJ50" s="159"/>
      <c r="LQK50" s="159"/>
      <c r="LQL50" s="159"/>
      <c r="LQM50" s="159"/>
      <c r="LQN50" s="159"/>
      <c r="LQO50" s="159"/>
      <c r="LQP50" s="159"/>
      <c r="LQQ50" s="159"/>
      <c r="LQR50" s="159"/>
      <c r="LQS50" s="159"/>
      <c r="LQT50" s="159"/>
      <c r="LQU50" s="159"/>
      <c r="LQV50" s="159"/>
      <c r="LQW50" s="159"/>
      <c r="LQX50" s="159"/>
      <c r="LQY50" s="159"/>
      <c r="LQZ50" s="159"/>
      <c r="LRA50" s="159"/>
      <c r="LRB50" s="159"/>
      <c r="LRC50" s="159"/>
      <c r="LRD50" s="159"/>
      <c r="LRE50" s="159"/>
      <c r="LRF50" s="159"/>
      <c r="LRG50" s="159"/>
      <c r="LRH50" s="159"/>
      <c r="LRI50" s="159"/>
      <c r="LRJ50" s="159"/>
      <c r="LRK50" s="159"/>
      <c r="LRL50" s="159"/>
      <c r="LRM50" s="159"/>
      <c r="LRN50" s="159"/>
      <c r="LRO50" s="159"/>
      <c r="LRP50" s="159"/>
      <c r="LRQ50" s="159"/>
      <c r="LRR50" s="159"/>
      <c r="LRS50" s="159"/>
      <c r="LRT50" s="159"/>
      <c r="LRU50" s="159"/>
      <c r="LRV50" s="159"/>
      <c r="LRW50" s="159"/>
      <c r="LRX50" s="159"/>
      <c r="LRY50" s="159"/>
      <c r="LRZ50" s="159"/>
      <c r="LSA50" s="159"/>
      <c r="LSB50" s="159"/>
      <c r="LSC50" s="159"/>
      <c r="LSD50" s="159"/>
      <c r="LSE50" s="159"/>
      <c r="LSF50" s="159"/>
      <c r="LSG50" s="159"/>
      <c r="LSH50" s="159"/>
      <c r="LSI50" s="159"/>
      <c r="LSJ50" s="159"/>
      <c r="LSK50" s="159"/>
      <c r="LSL50" s="159"/>
      <c r="LSM50" s="159"/>
      <c r="LSN50" s="159"/>
      <c r="LSO50" s="159"/>
      <c r="LSP50" s="159"/>
      <c r="LSQ50" s="159"/>
      <c r="LSR50" s="159"/>
      <c r="LSS50" s="159"/>
      <c r="LST50" s="159"/>
      <c r="LSU50" s="159"/>
      <c r="LSV50" s="159"/>
      <c r="LSW50" s="159"/>
      <c r="LSX50" s="159"/>
      <c r="LSY50" s="159"/>
      <c r="LSZ50" s="159"/>
      <c r="LTA50" s="159"/>
      <c r="LTB50" s="159"/>
      <c r="LTC50" s="159"/>
      <c r="LTD50" s="159"/>
      <c r="LTE50" s="159"/>
      <c r="LTF50" s="159"/>
      <c r="LTG50" s="159"/>
      <c r="LTH50" s="159"/>
      <c r="LTI50" s="159"/>
      <c r="LTJ50" s="159"/>
      <c r="LTK50" s="159"/>
      <c r="LTL50" s="159"/>
      <c r="LTM50" s="159"/>
      <c r="LTN50" s="159"/>
      <c r="LTO50" s="159"/>
      <c r="LTP50" s="159"/>
      <c r="LTQ50" s="159"/>
      <c r="LTR50" s="159"/>
      <c r="LTS50" s="159"/>
      <c r="LTT50" s="159"/>
      <c r="LTU50" s="159"/>
      <c r="LTV50" s="159"/>
      <c r="LTW50" s="159"/>
      <c r="LTX50" s="159"/>
      <c r="LTY50" s="159"/>
      <c r="LTZ50" s="159"/>
      <c r="LUA50" s="159"/>
      <c r="LUB50" s="159"/>
      <c r="LUC50" s="159"/>
      <c r="LUD50" s="159"/>
      <c r="LUE50" s="159"/>
      <c r="LUF50" s="159"/>
      <c r="LUG50" s="159"/>
      <c r="LUH50" s="159"/>
      <c r="LUI50" s="159"/>
      <c r="LUJ50" s="159"/>
      <c r="LUK50" s="159"/>
      <c r="LUL50" s="159"/>
      <c r="LUM50" s="159"/>
      <c r="LUN50" s="159"/>
      <c r="LUO50" s="159"/>
      <c r="LUP50" s="159"/>
      <c r="LUQ50" s="159"/>
      <c r="LUR50" s="159"/>
      <c r="LUS50" s="159"/>
      <c r="LUT50" s="159"/>
      <c r="LUU50" s="159"/>
      <c r="LUV50" s="159"/>
      <c r="LUW50" s="159"/>
      <c r="LUX50" s="159"/>
      <c r="LUY50" s="159"/>
      <c r="LUZ50" s="159"/>
      <c r="LVA50" s="159"/>
      <c r="LVB50" s="159"/>
      <c r="LVC50" s="159"/>
      <c r="LVD50" s="159"/>
      <c r="LVE50" s="159"/>
      <c r="LVF50" s="159"/>
      <c r="LVG50" s="159"/>
      <c r="LVH50" s="159"/>
      <c r="LVI50" s="159"/>
      <c r="LVJ50" s="159"/>
      <c r="LVK50" s="159"/>
      <c r="LVL50" s="159"/>
      <c r="LVM50" s="159"/>
      <c r="LVN50" s="159"/>
      <c r="LVO50" s="159"/>
      <c r="LVP50" s="159"/>
      <c r="LVQ50" s="159"/>
      <c r="LVR50" s="159"/>
      <c r="LVS50" s="159"/>
      <c r="LVT50" s="159"/>
      <c r="LVU50" s="159"/>
      <c r="LVV50" s="159"/>
      <c r="LVW50" s="159"/>
      <c r="LVX50" s="159"/>
      <c r="LVY50" s="159"/>
      <c r="LVZ50" s="159"/>
      <c r="LWA50" s="159"/>
      <c r="LWB50" s="159"/>
      <c r="LWC50" s="159"/>
      <c r="LWD50" s="159"/>
      <c r="LWE50" s="159"/>
      <c r="LWF50" s="159"/>
      <c r="LWG50" s="159"/>
      <c r="LWH50" s="159"/>
      <c r="LWI50" s="159"/>
      <c r="LWJ50" s="159"/>
      <c r="LWK50" s="159"/>
      <c r="LWL50" s="159"/>
      <c r="LWM50" s="159"/>
      <c r="LWN50" s="159"/>
      <c r="LWO50" s="159"/>
      <c r="LWP50" s="159"/>
      <c r="LWQ50" s="159"/>
      <c r="LWR50" s="159"/>
      <c r="LWS50" s="159"/>
      <c r="LWT50" s="159"/>
      <c r="LWU50" s="159"/>
      <c r="LWV50" s="159"/>
      <c r="LWW50" s="159"/>
      <c r="LWX50" s="159"/>
      <c r="LWY50" s="159"/>
      <c r="LWZ50" s="159"/>
      <c r="LXA50" s="159"/>
      <c r="LXB50" s="159"/>
      <c r="LXC50" s="159"/>
      <c r="LXD50" s="159"/>
      <c r="LXE50" s="159"/>
      <c r="LXF50" s="159"/>
      <c r="LXG50" s="159"/>
      <c r="LXH50" s="159"/>
      <c r="LXI50" s="159"/>
      <c r="LXJ50" s="159"/>
      <c r="LXK50" s="159"/>
      <c r="LXL50" s="159"/>
      <c r="LXM50" s="159"/>
      <c r="LXN50" s="159"/>
      <c r="LXO50" s="159"/>
      <c r="LXP50" s="159"/>
      <c r="LXQ50" s="159"/>
      <c r="LXR50" s="159"/>
      <c r="LXS50" s="159"/>
      <c r="LXT50" s="159"/>
      <c r="LXU50" s="159"/>
      <c r="LXV50" s="159"/>
      <c r="LXW50" s="159"/>
      <c r="LXX50" s="159"/>
      <c r="LXY50" s="159"/>
      <c r="LXZ50" s="159"/>
      <c r="LYA50" s="159"/>
      <c r="LYB50" s="159"/>
      <c r="LYC50" s="159"/>
      <c r="LYD50" s="159"/>
      <c r="LYE50" s="159"/>
      <c r="LYF50" s="159"/>
      <c r="LYG50" s="159"/>
      <c r="LYH50" s="159"/>
      <c r="LYI50" s="159"/>
      <c r="LYJ50" s="159"/>
      <c r="LYK50" s="159"/>
      <c r="LYL50" s="159"/>
      <c r="LYM50" s="159"/>
      <c r="LYN50" s="159"/>
      <c r="LYO50" s="159"/>
      <c r="LYP50" s="159"/>
      <c r="LYQ50" s="159"/>
      <c r="LYR50" s="159"/>
      <c r="LYS50" s="159"/>
      <c r="LYT50" s="159"/>
      <c r="LYU50" s="159"/>
      <c r="LYV50" s="159"/>
      <c r="LYW50" s="159"/>
      <c r="LYX50" s="159"/>
      <c r="LYY50" s="159"/>
      <c r="LYZ50" s="159"/>
      <c r="LZA50" s="159"/>
      <c r="LZB50" s="159"/>
      <c r="LZC50" s="159"/>
      <c r="LZD50" s="159"/>
      <c r="LZE50" s="159"/>
      <c r="LZF50" s="159"/>
      <c r="LZG50" s="159"/>
      <c r="LZH50" s="159"/>
      <c r="LZI50" s="159"/>
      <c r="LZJ50" s="159"/>
      <c r="LZK50" s="159"/>
      <c r="LZL50" s="159"/>
      <c r="LZM50" s="159"/>
      <c r="LZN50" s="159"/>
      <c r="LZO50" s="159"/>
      <c r="LZP50" s="159"/>
      <c r="LZQ50" s="159"/>
      <c r="LZR50" s="159"/>
      <c r="LZS50" s="159"/>
      <c r="LZT50" s="159"/>
      <c r="LZU50" s="159"/>
      <c r="LZV50" s="159"/>
      <c r="LZW50" s="159"/>
      <c r="LZX50" s="159"/>
      <c r="LZY50" s="159"/>
      <c r="LZZ50" s="159"/>
      <c r="MAA50" s="159"/>
      <c r="MAB50" s="159"/>
      <c r="MAC50" s="159"/>
      <c r="MAD50" s="159"/>
      <c r="MAE50" s="159"/>
      <c r="MAF50" s="159"/>
      <c r="MAG50" s="159"/>
      <c r="MAH50" s="159"/>
      <c r="MAI50" s="159"/>
      <c r="MAJ50" s="159"/>
      <c r="MAK50" s="159"/>
      <c r="MAL50" s="159"/>
      <c r="MAM50" s="159"/>
      <c r="MAN50" s="159"/>
      <c r="MAO50" s="159"/>
      <c r="MAP50" s="159"/>
      <c r="MAQ50" s="159"/>
      <c r="MAR50" s="159"/>
      <c r="MAS50" s="159"/>
      <c r="MAT50" s="159"/>
      <c r="MAU50" s="159"/>
      <c r="MAV50" s="159"/>
      <c r="MAW50" s="159"/>
      <c r="MAX50" s="159"/>
      <c r="MAY50" s="159"/>
      <c r="MAZ50" s="159"/>
      <c r="MBA50" s="159"/>
      <c r="MBB50" s="159"/>
      <c r="MBC50" s="159"/>
      <c r="MBD50" s="159"/>
      <c r="MBE50" s="159"/>
      <c r="MBF50" s="159"/>
      <c r="MBG50" s="159"/>
      <c r="MBH50" s="159"/>
      <c r="MBI50" s="159"/>
      <c r="MBJ50" s="159"/>
      <c r="MBK50" s="159"/>
      <c r="MBL50" s="159"/>
      <c r="MBM50" s="159"/>
      <c r="MBN50" s="159"/>
      <c r="MBO50" s="159"/>
      <c r="MBP50" s="159"/>
      <c r="MBQ50" s="159"/>
      <c r="MBR50" s="159"/>
      <c r="MBS50" s="159"/>
      <c r="MBT50" s="159"/>
      <c r="MBU50" s="159"/>
      <c r="MBV50" s="159"/>
      <c r="MBW50" s="159"/>
      <c r="MBX50" s="159"/>
      <c r="MBY50" s="159"/>
      <c r="MBZ50" s="159"/>
      <c r="MCA50" s="159"/>
      <c r="MCB50" s="159"/>
      <c r="MCC50" s="159"/>
      <c r="MCD50" s="159"/>
      <c r="MCE50" s="159"/>
      <c r="MCF50" s="159"/>
      <c r="MCG50" s="159"/>
      <c r="MCH50" s="159"/>
      <c r="MCI50" s="159"/>
      <c r="MCJ50" s="159"/>
      <c r="MCK50" s="159"/>
      <c r="MCL50" s="159"/>
      <c r="MCM50" s="159"/>
      <c r="MCN50" s="159"/>
      <c r="MCO50" s="159"/>
      <c r="MCP50" s="159"/>
      <c r="MCQ50" s="159"/>
      <c r="MCR50" s="159"/>
      <c r="MCS50" s="159"/>
      <c r="MCT50" s="159"/>
      <c r="MCU50" s="159"/>
      <c r="MCV50" s="159"/>
      <c r="MCW50" s="159"/>
      <c r="MCX50" s="159"/>
      <c r="MCY50" s="159"/>
      <c r="MCZ50" s="159"/>
      <c r="MDA50" s="159"/>
      <c r="MDB50" s="159"/>
      <c r="MDC50" s="159"/>
      <c r="MDD50" s="159"/>
      <c r="MDE50" s="159"/>
      <c r="MDF50" s="159"/>
      <c r="MDG50" s="159"/>
      <c r="MDH50" s="159"/>
      <c r="MDI50" s="159"/>
      <c r="MDJ50" s="159"/>
      <c r="MDK50" s="159"/>
      <c r="MDL50" s="159"/>
      <c r="MDM50" s="159"/>
      <c r="MDN50" s="159"/>
      <c r="MDO50" s="159"/>
      <c r="MDP50" s="159"/>
      <c r="MDQ50" s="159"/>
      <c r="MDR50" s="159"/>
      <c r="MDS50" s="159"/>
      <c r="MDT50" s="159"/>
      <c r="MDU50" s="159"/>
      <c r="MDV50" s="159"/>
      <c r="MDW50" s="159"/>
      <c r="MDX50" s="159"/>
      <c r="MDY50" s="159"/>
      <c r="MDZ50" s="159"/>
      <c r="MEA50" s="159"/>
      <c r="MEB50" s="159"/>
      <c r="MEC50" s="159"/>
      <c r="MED50" s="159"/>
      <c r="MEE50" s="159"/>
      <c r="MEF50" s="159"/>
      <c r="MEG50" s="159"/>
      <c r="MEH50" s="159"/>
      <c r="MEI50" s="159"/>
      <c r="MEJ50" s="159"/>
      <c r="MEK50" s="159"/>
      <c r="MEL50" s="159"/>
      <c r="MEM50" s="159"/>
      <c r="MEN50" s="159"/>
      <c r="MEO50" s="159"/>
      <c r="MEP50" s="159"/>
      <c r="MEQ50" s="159"/>
      <c r="MER50" s="159"/>
      <c r="MES50" s="159"/>
      <c r="MET50" s="159"/>
      <c r="MEU50" s="159"/>
      <c r="MEV50" s="159"/>
      <c r="MEW50" s="159"/>
      <c r="MEX50" s="159"/>
      <c r="MEY50" s="159"/>
      <c r="MEZ50" s="159"/>
      <c r="MFA50" s="159"/>
      <c r="MFB50" s="159"/>
      <c r="MFC50" s="159"/>
      <c r="MFD50" s="159"/>
      <c r="MFE50" s="159"/>
      <c r="MFF50" s="159"/>
      <c r="MFG50" s="159"/>
      <c r="MFH50" s="159"/>
      <c r="MFI50" s="159"/>
      <c r="MFJ50" s="159"/>
      <c r="MFK50" s="159"/>
      <c r="MFL50" s="159"/>
      <c r="MFM50" s="159"/>
      <c r="MFN50" s="159"/>
      <c r="MFO50" s="159"/>
      <c r="MFP50" s="159"/>
      <c r="MFQ50" s="159"/>
      <c r="MFR50" s="159"/>
      <c r="MFS50" s="159"/>
      <c r="MFT50" s="159"/>
      <c r="MFU50" s="159"/>
      <c r="MFV50" s="159"/>
      <c r="MFW50" s="159"/>
      <c r="MFX50" s="159"/>
      <c r="MFY50" s="159"/>
      <c r="MFZ50" s="159"/>
      <c r="MGA50" s="159"/>
      <c r="MGB50" s="159"/>
      <c r="MGC50" s="159"/>
      <c r="MGD50" s="159"/>
      <c r="MGE50" s="159"/>
      <c r="MGF50" s="159"/>
      <c r="MGG50" s="159"/>
      <c r="MGH50" s="159"/>
      <c r="MGI50" s="159"/>
      <c r="MGJ50" s="159"/>
      <c r="MGK50" s="159"/>
      <c r="MGL50" s="159"/>
      <c r="MGM50" s="159"/>
      <c r="MGN50" s="159"/>
      <c r="MGO50" s="159"/>
      <c r="MGP50" s="159"/>
      <c r="MGQ50" s="159"/>
      <c r="MGR50" s="159"/>
      <c r="MGS50" s="159"/>
      <c r="MGT50" s="159"/>
      <c r="MGU50" s="159"/>
      <c r="MGV50" s="159"/>
      <c r="MGW50" s="159"/>
      <c r="MGX50" s="159"/>
      <c r="MGY50" s="159"/>
      <c r="MGZ50" s="159"/>
      <c r="MHA50" s="159"/>
      <c r="MHB50" s="159"/>
      <c r="MHC50" s="159"/>
      <c r="MHD50" s="159"/>
      <c r="MHE50" s="159"/>
      <c r="MHF50" s="159"/>
      <c r="MHG50" s="159"/>
      <c r="MHH50" s="159"/>
      <c r="MHI50" s="159"/>
      <c r="MHJ50" s="159"/>
      <c r="MHK50" s="159"/>
      <c r="MHL50" s="159"/>
      <c r="MHM50" s="159"/>
      <c r="MHN50" s="159"/>
      <c r="MHO50" s="159"/>
      <c r="MHP50" s="159"/>
      <c r="MHQ50" s="159"/>
      <c r="MHR50" s="159"/>
      <c r="MHS50" s="159"/>
      <c r="MHT50" s="159"/>
      <c r="MHU50" s="159"/>
      <c r="MHV50" s="159"/>
      <c r="MHW50" s="159"/>
      <c r="MHX50" s="159"/>
      <c r="MHY50" s="159"/>
      <c r="MHZ50" s="159"/>
      <c r="MIA50" s="159"/>
      <c r="MIB50" s="159"/>
      <c r="MIC50" s="159"/>
      <c r="MID50" s="159"/>
      <c r="MIE50" s="159"/>
      <c r="MIF50" s="159"/>
      <c r="MIG50" s="159"/>
      <c r="MIH50" s="159"/>
      <c r="MII50" s="159"/>
      <c r="MIJ50" s="159"/>
      <c r="MIK50" s="159"/>
      <c r="MIL50" s="159"/>
      <c r="MIM50" s="159"/>
      <c r="MIN50" s="159"/>
      <c r="MIO50" s="159"/>
      <c r="MIP50" s="159"/>
      <c r="MIQ50" s="159"/>
      <c r="MIR50" s="159"/>
      <c r="MIS50" s="159"/>
      <c r="MIT50" s="159"/>
      <c r="MIU50" s="159"/>
      <c r="MIV50" s="159"/>
      <c r="MIW50" s="159"/>
      <c r="MIX50" s="159"/>
      <c r="MIY50" s="159"/>
      <c r="MIZ50" s="159"/>
      <c r="MJA50" s="159"/>
      <c r="MJB50" s="159"/>
      <c r="MJC50" s="159"/>
      <c r="MJD50" s="159"/>
      <c r="MJE50" s="159"/>
      <c r="MJF50" s="159"/>
      <c r="MJG50" s="159"/>
      <c r="MJH50" s="159"/>
      <c r="MJI50" s="159"/>
      <c r="MJJ50" s="159"/>
      <c r="MJK50" s="159"/>
      <c r="MJL50" s="159"/>
      <c r="MJM50" s="159"/>
      <c r="MJN50" s="159"/>
      <c r="MJO50" s="159"/>
      <c r="MJP50" s="159"/>
      <c r="MJQ50" s="159"/>
      <c r="MJR50" s="159"/>
      <c r="MJS50" s="159"/>
      <c r="MJT50" s="159"/>
      <c r="MJU50" s="159"/>
      <c r="MJV50" s="159"/>
      <c r="MJW50" s="159"/>
      <c r="MJX50" s="159"/>
      <c r="MJY50" s="159"/>
      <c r="MJZ50" s="159"/>
      <c r="MKA50" s="159"/>
      <c r="MKB50" s="159"/>
      <c r="MKC50" s="159"/>
      <c r="MKD50" s="159"/>
      <c r="MKE50" s="159"/>
      <c r="MKF50" s="159"/>
      <c r="MKG50" s="159"/>
      <c r="MKH50" s="159"/>
      <c r="MKI50" s="159"/>
      <c r="MKJ50" s="159"/>
      <c r="MKK50" s="159"/>
      <c r="MKL50" s="159"/>
      <c r="MKM50" s="159"/>
      <c r="MKN50" s="159"/>
      <c r="MKO50" s="159"/>
      <c r="MKP50" s="159"/>
      <c r="MKQ50" s="159"/>
      <c r="MKR50" s="159"/>
      <c r="MKS50" s="159"/>
      <c r="MKT50" s="159"/>
      <c r="MKU50" s="159"/>
      <c r="MKV50" s="159"/>
      <c r="MKW50" s="159"/>
      <c r="MKX50" s="159"/>
      <c r="MKY50" s="159"/>
      <c r="MKZ50" s="159"/>
      <c r="MLA50" s="159"/>
      <c r="MLB50" s="159"/>
      <c r="MLC50" s="159"/>
      <c r="MLD50" s="159"/>
      <c r="MLE50" s="159"/>
      <c r="MLF50" s="159"/>
      <c r="MLG50" s="159"/>
      <c r="MLH50" s="159"/>
      <c r="MLI50" s="159"/>
      <c r="MLJ50" s="159"/>
      <c r="MLK50" s="159"/>
      <c r="MLL50" s="159"/>
      <c r="MLM50" s="159"/>
      <c r="MLN50" s="159"/>
      <c r="MLO50" s="159"/>
      <c r="MLP50" s="159"/>
      <c r="MLQ50" s="159"/>
      <c r="MLR50" s="159"/>
      <c r="MLS50" s="159"/>
      <c r="MLT50" s="159"/>
      <c r="MLU50" s="159"/>
      <c r="MLV50" s="159"/>
      <c r="MLW50" s="159"/>
      <c r="MLX50" s="159"/>
      <c r="MLY50" s="159"/>
      <c r="MLZ50" s="159"/>
      <c r="MMA50" s="159"/>
      <c r="MMB50" s="159"/>
      <c r="MMC50" s="159"/>
      <c r="MMD50" s="159"/>
      <c r="MME50" s="159"/>
      <c r="MMF50" s="159"/>
      <c r="MMG50" s="159"/>
      <c r="MMH50" s="159"/>
      <c r="MMI50" s="159"/>
      <c r="MMJ50" s="159"/>
      <c r="MMK50" s="159"/>
      <c r="MML50" s="159"/>
      <c r="MMM50" s="159"/>
      <c r="MMN50" s="159"/>
      <c r="MMO50" s="159"/>
      <c r="MMP50" s="159"/>
      <c r="MMQ50" s="159"/>
      <c r="MMR50" s="159"/>
      <c r="MMS50" s="159"/>
      <c r="MMT50" s="159"/>
      <c r="MMU50" s="159"/>
      <c r="MMV50" s="159"/>
      <c r="MMW50" s="159"/>
      <c r="MMX50" s="159"/>
      <c r="MMY50" s="159"/>
      <c r="MMZ50" s="159"/>
      <c r="MNA50" s="159"/>
      <c r="MNB50" s="159"/>
      <c r="MNC50" s="159"/>
      <c r="MND50" s="159"/>
      <c r="MNE50" s="159"/>
      <c r="MNF50" s="159"/>
      <c r="MNG50" s="159"/>
      <c r="MNH50" s="159"/>
      <c r="MNI50" s="159"/>
      <c r="MNJ50" s="159"/>
      <c r="MNK50" s="159"/>
      <c r="MNL50" s="159"/>
      <c r="MNM50" s="159"/>
      <c r="MNN50" s="159"/>
      <c r="MNO50" s="159"/>
      <c r="MNP50" s="159"/>
      <c r="MNQ50" s="159"/>
      <c r="MNR50" s="159"/>
      <c r="MNS50" s="159"/>
      <c r="MNT50" s="159"/>
      <c r="MNU50" s="159"/>
      <c r="MNV50" s="159"/>
      <c r="MNW50" s="159"/>
      <c r="MNX50" s="159"/>
      <c r="MNY50" s="159"/>
      <c r="MNZ50" s="159"/>
      <c r="MOA50" s="159"/>
      <c r="MOB50" s="159"/>
      <c r="MOC50" s="159"/>
      <c r="MOD50" s="159"/>
      <c r="MOE50" s="159"/>
      <c r="MOF50" s="159"/>
      <c r="MOG50" s="159"/>
      <c r="MOH50" s="159"/>
      <c r="MOI50" s="159"/>
      <c r="MOJ50" s="159"/>
      <c r="MOK50" s="159"/>
      <c r="MOL50" s="159"/>
      <c r="MOM50" s="159"/>
      <c r="MON50" s="159"/>
      <c r="MOO50" s="159"/>
      <c r="MOP50" s="159"/>
      <c r="MOQ50" s="159"/>
      <c r="MOR50" s="159"/>
      <c r="MOS50" s="159"/>
      <c r="MOT50" s="159"/>
      <c r="MOU50" s="159"/>
      <c r="MOV50" s="159"/>
      <c r="MOW50" s="159"/>
      <c r="MOX50" s="159"/>
      <c r="MOY50" s="159"/>
      <c r="MOZ50" s="159"/>
      <c r="MPA50" s="159"/>
      <c r="MPB50" s="159"/>
      <c r="MPC50" s="159"/>
      <c r="MPD50" s="159"/>
      <c r="MPE50" s="159"/>
      <c r="MPF50" s="159"/>
      <c r="MPG50" s="159"/>
      <c r="MPH50" s="159"/>
      <c r="MPI50" s="159"/>
      <c r="MPJ50" s="159"/>
      <c r="MPK50" s="159"/>
      <c r="MPL50" s="159"/>
      <c r="MPM50" s="159"/>
      <c r="MPN50" s="159"/>
      <c r="MPO50" s="159"/>
      <c r="MPP50" s="159"/>
      <c r="MPQ50" s="159"/>
      <c r="MPR50" s="159"/>
      <c r="MPS50" s="159"/>
      <c r="MPT50" s="159"/>
      <c r="MPU50" s="159"/>
      <c r="MPV50" s="159"/>
      <c r="MPW50" s="159"/>
      <c r="MPX50" s="159"/>
      <c r="MPY50" s="159"/>
      <c r="MPZ50" s="159"/>
      <c r="MQA50" s="159"/>
      <c r="MQB50" s="159"/>
      <c r="MQC50" s="159"/>
      <c r="MQD50" s="159"/>
      <c r="MQE50" s="159"/>
      <c r="MQF50" s="159"/>
      <c r="MQG50" s="159"/>
      <c r="MQH50" s="159"/>
      <c r="MQI50" s="159"/>
      <c r="MQJ50" s="159"/>
      <c r="MQK50" s="159"/>
      <c r="MQL50" s="159"/>
      <c r="MQM50" s="159"/>
      <c r="MQN50" s="159"/>
      <c r="MQO50" s="159"/>
      <c r="MQP50" s="159"/>
      <c r="MQQ50" s="159"/>
      <c r="MQR50" s="159"/>
      <c r="MQS50" s="159"/>
      <c r="MQT50" s="159"/>
      <c r="MQU50" s="159"/>
      <c r="MQV50" s="159"/>
      <c r="MQW50" s="159"/>
      <c r="MQX50" s="159"/>
      <c r="MQY50" s="159"/>
      <c r="MQZ50" s="159"/>
      <c r="MRA50" s="159"/>
      <c r="MRB50" s="159"/>
      <c r="MRC50" s="159"/>
      <c r="MRD50" s="159"/>
      <c r="MRE50" s="159"/>
      <c r="MRF50" s="159"/>
      <c r="MRG50" s="159"/>
      <c r="MRH50" s="159"/>
      <c r="MRI50" s="159"/>
      <c r="MRJ50" s="159"/>
      <c r="MRK50" s="159"/>
      <c r="MRL50" s="159"/>
      <c r="MRM50" s="159"/>
      <c r="MRN50" s="159"/>
      <c r="MRO50" s="159"/>
      <c r="MRP50" s="159"/>
      <c r="MRQ50" s="159"/>
      <c r="MRR50" s="159"/>
      <c r="MRS50" s="159"/>
      <c r="MRT50" s="159"/>
      <c r="MRU50" s="159"/>
      <c r="MRV50" s="159"/>
      <c r="MRW50" s="159"/>
      <c r="MRX50" s="159"/>
      <c r="MRY50" s="159"/>
      <c r="MRZ50" s="159"/>
      <c r="MSA50" s="159"/>
      <c r="MSB50" s="159"/>
      <c r="MSC50" s="159"/>
      <c r="MSD50" s="159"/>
      <c r="MSE50" s="159"/>
      <c r="MSF50" s="159"/>
      <c r="MSG50" s="159"/>
      <c r="MSH50" s="159"/>
      <c r="MSI50" s="159"/>
      <c r="MSJ50" s="159"/>
      <c r="MSK50" s="159"/>
      <c r="MSL50" s="159"/>
      <c r="MSM50" s="159"/>
      <c r="MSN50" s="159"/>
      <c r="MSO50" s="159"/>
      <c r="MSP50" s="159"/>
      <c r="MSQ50" s="159"/>
      <c r="MSR50" s="159"/>
      <c r="MSS50" s="159"/>
      <c r="MST50" s="159"/>
      <c r="MSU50" s="159"/>
      <c r="MSV50" s="159"/>
      <c r="MSW50" s="159"/>
      <c r="MSX50" s="159"/>
      <c r="MSY50" s="159"/>
      <c r="MSZ50" s="159"/>
      <c r="MTA50" s="159"/>
      <c r="MTB50" s="159"/>
      <c r="MTC50" s="159"/>
      <c r="MTD50" s="159"/>
      <c r="MTE50" s="159"/>
      <c r="MTF50" s="159"/>
      <c r="MTG50" s="159"/>
      <c r="MTH50" s="159"/>
      <c r="MTI50" s="159"/>
      <c r="MTJ50" s="159"/>
      <c r="MTK50" s="159"/>
      <c r="MTL50" s="159"/>
      <c r="MTM50" s="159"/>
      <c r="MTN50" s="159"/>
      <c r="MTO50" s="159"/>
      <c r="MTP50" s="159"/>
      <c r="MTQ50" s="159"/>
      <c r="MTR50" s="159"/>
      <c r="MTS50" s="159"/>
      <c r="MTT50" s="159"/>
      <c r="MTU50" s="159"/>
      <c r="MTV50" s="159"/>
      <c r="MTW50" s="159"/>
      <c r="MTX50" s="159"/>
      <c r="MTY50" s="159"/>
      <c r="MTZ50" s="159"/>
      <c r="MUA50" s="159"/>
      <c r="MUB50" s="159"/>
      <c r="MUC50" s="159"/>
      <c r="MUD50" s="159"/>
      <c r="MUE50" s="159"/>
      <c r="MUF50" s="159"/>
      <c r="MUG50" s="159"/>
      <c r="MUH50" s="159"/>
      <c r="MUI50" s="159"/>
      <c r="MUJ50" s="159"/>
      <c r="MUK50" s="159"/>
      <c r="MUL50" s="159"/>
      <c r="MUM50" s="159"/>
      <c r="MUN50" s="159"/>
      <c r="MUO50" s="159"/>
      <c r="MUP50" s="159"/>
      <c r="MUQ50" s="159"/>
      <c r="MUR50" s="159"/>
      <c r="MUS50" s="159"/>
      <c r="MUT50" s="159"/>
      <c r="MUU50" s="159"/>
      <c r="MUV50" s="159"/>
      <c r="MUW50" s="159"/>
      <c r="MUX50" s="159"/>
      <c r="MUY50" s="159"/>
      <c r="MUZ50" s="159"/>
      <c r="MVA50" s="159"/>
      <c r="MVB50" s="159"/>
      <c r="MVC50" s="159"/>
      <c r="MVD50" s="159"/>
      <c r="MVE50" s="159"/>
      <c r="MVF50" s="159"/>
      <c r="MVG50" s="159"/>
      <c r="MVH50" s="159"/>
      <c r="MVI50" s="159"/>
      <c r="MVJ50" s="159"/>
      <c r="MVK50" s="159"/>
      <c r="MVL50" s="159"/>
      <c r="MVM50" s="159"/>
      <c r="MVN50" s="159"/>
      <c r="MVO50" s="159"/>
      <c r="MVP50" s="159"/>
      <c r="MVQ50" s="159"/>
      <c r="MVR50" s="159"/>
      <c r="MVS50" s="159"/>
      <c r="MVT50" s="159"/>
      <c r="MVU50" s="159"/>
      <c r="MVV50" s="159"/>
      <c r="MVW50" s="159"/>
      <c r="MVX50" s="159"/>
      <c r="MVY50" s="159"/>
      <c r="MVZ50" s="159"/>
      <c r="MWA50" s="159"/>
      <c r="MWB50" s="159"/>
      <c r="MWC50" s="159"/>
      <c r="MWD50" s="159"/>
      <c r="MWE50" s="159"/>
      <c r="MWF50" s="159"/>
      <c r="MWG50" s="159"/>
      <c r="MWH50" s="159"/>
      <c r="MWI50" s="159"/>
      <c r="MWJ50" s="159"/>
      <c r="MWK50" s="159"/>
      <c r="MWL50" s="159"/>
      <c r="MWM50" s="159"/>
      <c r="MWN50" s="159"/>
      <c r="MWO50" s="159"/>
      <c r="MWP50" s="159"/>
      <c r="MWQ50" s="159"/>
      <c r="MWR50" s="159"/>
      <c r="MWS50" s="159"/>
      <c r="MWT50" s="159"/>
      <c r="MWU50" s="159"/>
      <c r="MWV50" s="159"/>
      <c r="MWW50" s="159"/>
      <c r="MWX50" s="159"/>
      <c r="MWY50" s="159"/>
      <c r="MWZ50" s="159"/>
      <c r="MXA50" s="159"/>
      <c r="MXB50" s="159"/>
      <c r="MXC50" s="159"/>
      <c r="MXD50" s="159"/>
      <c r="MXE50" s="159"/>
      <c r="MXF50" s="159"/>
      <c r="MXG50" s="159"/>
      <c r="MXH50" s="159"/>
      <c r="MXI50" s="159"/>
      <c r="MXJ50" s="159"/>
      <c r="MXK50" s="159"/>
      <c r="MXL50" s="159"/>
      <c r="MXM50" s="159"/>
      <c r="MXN50" s="159"/>
      <c r="MXO50" s="159"/>
      <c r="MXP50" s="159"/>
      <c r="MXQ50" s="159"/>
      <c r="MXR50" s="159"/>
      <c r="MXS50" s="159"/>
      <c r="MXT50" s="159"/>
      <c r="MXU50" s="159"/>
      <c r="MXV50" s="159"/>
      <c r="MXW50" s="159"/>
      <c r="MXX50" s="159"/>
      <c r="MXY50" s="159"/>
      <c r="MXZ50" s="159"/>
      <c r="MYA50" s="159"/>
      <c r="MYB50" s="159"/>
      <c r="MYC50" s="159"/>
      <c r="MYD50" s="159"/>
      <c r="MYE50" s="159"/>
      <c r="MYF50" s="159"/>
      <c r="MYG50" s="159"/>
      <c r="MYH50" s="159"/>
      <c r="MYI50" s="159"/>
      <c r="MYJ50" s="159"/>
      <c r="MYK50" s="159"/>
      <c r="MYL50" s="159"/>
      <c r="MYM50" s="159"/>
      <c r="MYN50" s="159"/>
      <c r="MYO50" s="159"/>
      <c r="MYP50" s="159"/>
      <c r="MYQ50" s="159"/>
      <c r="MYR50" s="159"/>
      <c r="MYS50" s="159"/>
      <c r="MYT50" s="159"/>
      <c r="MYU50" s="159"/>
      <c r="MYV50" s="159"/>
      <c r="MYW50" s="159"/>
      <c r="MYX50" s="159"/>
      <c r="MYY50" s="159"/>
      <c r="MYZ50" s="159"/>
      <c r="MZA50" s="159"/>
      <c r="MZB50" s="159"/>
      <c r="MZC50" s="159"/>
      <c r="MZD50" s="159"/>
      <c r="MZE50" s="159"/>
      <c r="MZF50" s="159"/>
      <c r="MZG50" s="159"/>
      <c r="MZH50" s="159"/>
      <c r="MZI50" s="159"/>
      <c r="MZJ50" s="159"/>
      <c r="MZK50" s="159"/>
      <c r="MZL50" s="159"/>
      <c r="MZM50" s="159"/>
      <c r="MZN50" s="159"/>
      <c r="MZO50" s="159"/>
      <c r="MZP50" s="159"/>
      <c r="MZQ50" s="159"/>
      <c r="MZR50" s="159"/>
      <c r="MZS50" s="159"/>
      <c r="MZT50" s="159"/>
      <c r="MZU50" s="159"/>
      <c r="MZV50" s="159"/>
      <c r="MZW50" s="159"/>
      <c r="MZX50" s="159"/>
      <c r="MZY50" s="159"/>
      <c r="MZZ50" s="159"/>
      <c r="NAA50" s="159"/>
      <c r="NAB50" s="159"/>
      <c r="NAC50" s="159"/>
      <c r="NAD50" s="159"/>
      <c r="NAE50" s="159"/>
      <c r="NAF50" s="159"/>
      <c r="NAG50" s="159"/>
      <c r="NAH50" s="159"/>
      <c r="NAI50" s="159"/>
      <c r="NAJ50" s="159"/>
      <c r="NAK50" s="159"/>
      <c r="NAL50" s="159"/>
      <c r="NAM50" s="159"/>
      <c r="NAN50" s="159"/>
      <c r="NAO50" s="159"/>
      <c r="NAP50" s="159"/>
      <c r="NAQ50" s="159"/>
      <c r="NAR50" s="159"/>
      <c r="NAS50" s="159"/>
      <c r="NAT50" s="159"/>
      <c r="NAU50" s="159"/>
      <c r="NAV50" s="159"/>
      <c r="NAW50" s="159"/>
      <c r="NAX50" s="159"/>
      <c r="NAY50" s="159"/>
      <c r="NAZ50" s="159"/>
      <c r="NBA50" s="159"/>
      <c r="NBB50" s="159"/>
      <c r="NBC50" s="159"/>
      <c r="NBD50" s="159"/>
      <c r="NBE50" s="159"/>
      <c r="NBF50" s="159"/>
      <c r="NBG50" s="159"/>
      <c r="NBH50" s="159"/>
      <c r="NBI50" s="159"/>
      <c r="NBJ50" s="159"/>
      <c r="NBK50" s="159"/>
      <c r="NBL50" s="159"/>
      <c r="NBM50" s="159"/>
      <c r="NBN50" s="159"/>
      <c r="NBO50" s="159"/>
      <c r="NBP50" s="159"/>
      <c r="NBQ50" s="159"/>
      <c r="NBR50" s="159"/>
      <c r="NBS50" s="159"/>
      <c r="NBT50" s="159"/>
      <c r="NBU50" s="159"/>
      <c r="NBV50" s="159"/>
      <c r="NBW50" s="159"/>
      <c r="NBX50" s="159"/>
      <c r="NBY50" s="159"/>
      <c r="NBZ50" s="159"/>
      <c r="NCA50" s="159"/>
      <c r="NCB50" s="159"/>
      <c r="NCC50" s="159"/>
      <c r="NCD50" s="159"/>
      <c r="NCE50" s="159"/>
      <c r="NCF50" s="159"/>
      <c r="NCG50" s="159"/>
      <c r="NCH50" s="159"/>
      <c r="NCI50" s="159"/>
      <c r="NCJ50" s="159"/>
      <c r="NCK50" s="159"/>
      <c r="NCL50" s="159"/>
      <c r="NCM50" s="159"/>
      <c r="NCN50" s="159"/>
      <c r="NCO50" s="159"/>
      <c r="NCP50" s="159"/>
      <c r="NCQ50" s="159"/>
      <c r="NCR50" s="159"/>
      <c r="NCS50" s="159"/>
      <c r="NCT50" s="159"/>
      <c r="NCU50" s="159"/>
      <c r="NCV50" s="159"/>
      <c r="NCW50" s="159"/>
      <c r="NCX50" s="159"/>
      <c r="NCY50" s="159"/>
      <c r="NCZ50" s="159"/>
      <c r="NDA50" s="159"/>
      <c r="NDB50" s="159"/>
      <c r="NDC50" s="159"/>
      <c r="NDD50" s="159"/>
      <c r="NDE50" s="159"/>
      <c r="NDF50" s="159"/>
      <c r="NDG50" s="159"/>
      <c r="NDH50" s="159"/>
      <c r="NDI50" s="159"/>
      <c r="NDJ50" s="159"/>
      <c r="NDK50" s="159"/>
      <c r="NDL50" s="159"/>
      <c r="NDM50" s="159"/>
      <c r="NDN50" s="159"/>
      <c r="NDO50" s="159"/>
      <c r="NDP50" s="159"/>
      <c r="NDQ50" s="159"/>
      <c r="NDR50" s="159"/>
      <c r="NDS50" s="159"/>
      <c r="NDT50" s="159"/>
      <c r="NDU50" s="159"/>
      <c r="NDV50" s="159"/>
      <c r="NDW50" s="159"/>
      <c r="NDX50" s="159"/>
      <c r="NDY50" s="159"/>
      <c r="NDZ50" s="159"/>
      <c r="NEA50" s="159"/>
      <c r="NEB50" s="159"/>
      <c r="NEC50" s="159"/>
      <c r="NED50" s="159"/>
      <c r="NEE50" s="159"/>
      <c r="NEF50" s="159"/>
      <c r="NEG50" s="159"/>
      <c r="NEH50" s="159"/>
      <c r="NEI50" s="159"/>
      <c r="NEJ50" s="159"/>
      <c r="NEK50" s="159"/>
      <c r="NEL50" s="159"/>
      <c r="NEM50" s="159"/>
      <c r="NEN50" s="159"/>
      <c r="NEO50" s="159"/>
      <c r="NEP50" s="159"/>
      <c r="NEQ50" s="159"/>
      <c r="NER50" s="159"/>
      <c r="NES50" s="159"/>
      <c r="NET50" s="159"/>
      <c r="NEU50" s="159"/>
      <c r="NEV50" s="159"/>
      <c r="NEW50" s="159"/>
      <c r="NEX50" s="159"/>
      <c r="NEY50" s="159"/>
      <c r="NEZ50" s="159"/>
      <c r="NFA50" s="159"/>
      <c r="NFB50" s="159"/>
      <c r="NFC50" s="159"/>
      <c r="NFD50" s="159"/>
      <c r="NFE50" s="159"/>
      <c r="NFF50" s="159"/>
      <c r="NFG50" s="159"/>
      <c r="NFH50" s="159"/>
      <c r="NFI50" s="159"/>
      <c r="NFJ50" s="159"/>
      <c r="NFK50" s="159"/>
      <c r="NFL50" s="159"/>
      <c r="NFM50" s="159"/>
      <c r="NFN50" s="159"/>
      <c r="NFO50" s="159"/>
      <c r="NFP50" s="159"/>
      <c r="NFQ50" s="159"/>
      <c r="NFR50" s="159"/>
      <c r="NFS50" s="159"/>
      <c r="NFT50" s="159"/>
      <c r="NFU50" s="159"/>
      <c r="NFV50" s="159"/>
      <c r="NFW50" s="159"/>
      <c r="NFX50" s="159"/>
      <c r="NFY50" s="159"/>
      <c r="NFZ50" s="159"/>
      <c r="NGA50" s="159"/>
      <c r="NGB50" s="159"/>
      <c r="NGC50" s="159"/>
      <c r="NGD50" s="159"/>
      <c r="NGE50" s="159"/>
      <c r="NGF50" s="159"/>
      <c r="NGG50" s="159"/>
      <c r="NGH50" s="159"/>
      <c r="NGI50" s="159"/>
      <c r="NGJ50" s="159"/>
      <c r="NGK50" s="159"/>
      <c r="NGL50" s="159"/>
      <c r="NGM50" s="159"/>
      <c r="NGN50" s="159"/>
      <c r="NGO50" s="159"/>
      <c r="NGP50" s="159"/>
      <c r="NGQ50" s="159"/>
      <c r="NGR50" s="159"/>
      <c r="NGS50" s="159"/>
      <c r="NGT50" s="159"/>
      <c r="NGU50" s="159"/>
      <c r="NGV50" s="159"/>
      <c r="NGW50" s="159"/>
      <c r="NGX50" s="159"/>
      <c r="NGY50" s="159"/>
      <c r="NGZ50" s="159"/>
      <c r="NHA50" s="159"/>
      <c r="NHB50" s="159"/>
      <c r="NHC50" s="159"/>
      <c r="NHD50" s="159"/>
      <c r="NHE50" s="159"/>
      <c r="NHF50" s="159"/>
      <c r="NHG50" s="159"/>
      <c r="NHH50" s="159"/>
      <c r="NHI50" s="159"/>
      <c r="NHJ50" s="159"/>
      <c r="NHK50" s="159"/>
      <c r="NHL50" s="159"/>
      <c r="NHM50" s="159"/>
      <c r="NHN50" s="159"/>
      <c r="NHO50" s="159"/>
      <c r="NHP50" s="159"/>
      <c r="NHQ50" s="159"/>
      <c r="NHR50" s="159"/>
      <c r="NHS50" s="159"/>
      <c r="NHT50" s="159"/>
      <c r="NHU50" s="159"/>
      <c r="NHV50" s="159"/>
      <c r="NHW50" s="159"/>
      <c r="NHX50" s="159"/>
      <c r="NHY50" s="159"/>
      <c r="NHZ50" s="159"/>
      <c r="NIA50" s="159"/>
      <c r="NIB50" s="159"/>
      <c r="NIC50" s="159"/>
      <c r="NID50" s="159"/>
      <c r="NIE50" s="159"/>
      <c r="NIF50" s="159"/>
      <c r="NIG50" s="159"/>
      <c r="NIH50" s="159"/>
      <c r="NII50" s="159"/>
      <c r="NIJ50" s="159"/>
      <c r="NIK50" s="159"/>
      <c r="NIL50" s="159"/>
      <c r="NIM50" s="159"/>
      <c r="NIN50" s="159"/>
      <c r="NIO50" s="159"/>
      <c r="NIP50" s="159"/>
      <c r="NIQ50" s="159"/>
      <c r="NIR50" s="159"/>
      <c r="NIS50" s="159"/>
      <c r="NIT50" s="159"/>
      <c r="NIU50" s="159"/>
      <c r="NIV50" s="159"/>
      <c r="NIW50" s="159"/>
      <c r="NIX50" s="159"/>
      <c r="NIY50" s="159"/>
      <c r="NIZ50" s="159"/>
      <c r="NJA50" s="159"/>
      <c r="NJB50" s="159"/>
      <c r="NJC50" s="159"/>
      <c r="NJD50" s="159"/>
      <c r="NJE50" s="159"/>
      <c r="NJF50" s="159"/>
      <c r="NJG50" s="159"/>
      <c r="NJH50" s="159"/>
      <c r="NJI50" s="159"/>
      <c r="NJJ50" s="159"/>
      <c r="NJK50" s="159"/>
      <c r="NJL50" s="159"/>
      <c r="NJM50" s="159"/>
      <c r="NJN50" s="159"/>
      <c r="NJO50" s="159"/>
      <c r="NJP50" s="159"/>
      <c r="NJQ50" s="159"/>
      <c r="NJR50" s="159"/>
      <c r="NJS50" s="159"/>
      <c r="NJT50" s="159"/>
      <c r="NJU50" s="159"/>
      <c r="NJV50" s="159"/>
      <c r="NJW50" s="159"/>
      <c r="NJX50" s="159"/>
      <c r="NJY50" s="159"/>
      <c r="NJZ50" s="159"/>
      <c r="NKA50" s="159"/>
      <c r="NKB50" s="159"/>
      <c r="NKC50" s="159"/>
      <c r="NKD50" s="159"/>
      <c r="NKE50" s="159"/>
      <c r="NKF50" s="159"/>
      <c r="NKG50" s="159"/>
      <c r="NKH50" s="159"/>
      <c r="NKI50" s="159"/>
      <c r="NKJ50" s="159"/>
      <c r="NKK50" s="159"/>
      <c r="NKL50" s="159"/>
      <c r="NKM50" s="159"/>
      <c r="NKN50" s="159"/>
      <c r="NKO50" s="159"/>
      <c r="NKP50" s="159"/>
      <c r="NKQ50" s="159"/>
      <c r="NKR50" s="159"/>
      <c r="NKS50" s="159"/>
      <c r="NKT50" s="159"/>
      <c r="NKU50" s="159"/>
      <c r="NKV50" s="159"/>
      <c r="NKW50" s="159"/>
      <c r="NKX50" s="159"/>
      <c r="NKY50" s="159"/>
      <c r="NKZ50" s="159"/>
      <c r="NLA50" s="159"/>
      <c r="NLB50" s="159"/>
      <c r="NLC50" s="159"/>
      <c r="NLD50" s="159"/>
      <c r="NLE50" s="159"/>
      <c r="NLF50" s="159"/>
      <c r="NLG50" s="159"/>
      <c r="NLH50" s="159"/>
      <c r="NLI50" s="159"/>
      <c r="NLJ50" s="159"/>
      <c r="NLK50" s="159"/>
      <c r="NLL50" s="159"/>
      <c r="NLM50" s="159"/>
      <c r="NLN50" s="159"/>
      <c r="NLO50" s="159"/>
      <c r="NLP50" s="159"/>
      <c r="NLQ50" s="159"/>
      <c r="NLR50" s="159"/>
      <c r="NLS50" s="159"/>
      <c r="NLT50" s="159"/>
      <c r="NLU50" s="159"/>
      <c r="NLV50" s="159"/>
      <c r="NLW50" s="159"/>
      <c r="NLX50" s="159"/>
      <c r="NLY50" s="159"/>
      <c r="NLZ50" s="159"/>
      <c r="NMA50" s="159"/>
      <c r="NMB50" s="159"/>
      <c r="NMC50" s="159"/>
      <c r="NMD50" s="159"/>
      <c r="NME50" s="159"/>
      <c r="NMF50" s="159"/>
      <c r="NMG50" s="159"/>
      <c r="NMH50" s="159"/>
      <c r="NMI50" s="159"/>
      <c r="NMJ50" s="159"/>
      <c r="NMK50" s="159"/>
      <c r="NML50" s="159"/>
      <c r="NMM50" s="159"/>
      <c r="NMN50" s="159"/>
      <c r="NMO50" s="159"/>
      <c r="NMP50" s="159"/>
      <c r="NMQ50" s="159"/>
      <c r="NMR50" s="159"/>
      <c r="NMS50" s="159"/>
      <c r="NMT50" s="159"/>
      <c r="NMU50" s="159"/>
      <c r="NMV50" s="159"/>
      <c r="NMW50" s="159"/>
      <c r="NMX50" s="159"/>
      <c r="NMY50" s="159"/>
      <c r="NMZ50" s="159"/>
      <c r="NNA50" s="159"/>
      <c r="NNB50" s="159"/>
      <c r="NNC50" s="159"/>
      <c r="NND50" s="159"/>
      <c r="NNE50" s="159"/>
      <c r="NNF50" s="159"/>
      <c r="NNG50" s="159"/>
      <c r="NNH50" s="159"/>
      <c r="NNI50" s="159"/>
      <c r="NNJ50" s="159"/>
      <c r="NNK50" s="159"/>
      <c r="NNL50" s="159"/>
      <c r="NNM50" s="159"/>
      <c r="NNN50" s="159"/>
      <c r="NNO50" s="159"/>
      <c r="NNP50" s="159"/>
      <c r="NNQ50" s="159"/>
      <c r="NNR50" s="159"/>
      <c r="NNS50" s="159"/>
      <c r="NNT50" s="159"/>
      <c r="NNU50" s="159"/>
      <c r="NNV50" s="159"/>
      <c r="NNW50" s="159"/>
      <c r="NNX50" s="159"/>
      <c r="NNY50" s="159"/>
      <c r="NNZ50" s="159"/>
      <c r="NOA50" s="159"/>
      <c r="NOB50" s="159"/>
      <c r="NOC50" s="159"/>
      <c r="NOD50" s="159"/>
      <c r="NOE50" s="159"/>
      <c r="NOF50" s="159"/>
      <c r="NOG50" s="159"/>
      <c r="NOH50" s="159"/>
      <c r="NOI50" s="159"/>
      <c r="NOJ50" s="159"/>
      <c r="NOK50" s="159"/>
      <c r="NOL50" s="159"/>
      <c r="NOM50" s="159"/>
      <c r="NON50" s="159"/>
      <c r="NOO50" s="159"/>
      <c r="NOP50" s="159"/>
      <c r="NOQ50" s="159"/>
      <c r="NOR50" s="159"/>
      <c r="NOS50" s="159"/>
      <c r="NOT50" s="159"/>
      <c r="NOU50" s="159"/>
      <c r="NOV50" s="159"/>
      <c r="NOW50" s="159"/>
      <c r="NOX50" s="159"/>
      <c r="NOY50" s="159"/>
      <c r="NOZ50" s="159"/>
      <c r="NPA50" s="159"/>
      <c r="NPB50" s="159"/>
      <c r="NPC50" s="159"/>
      <c r="NPD50" s="159"/>
      <c r="NPE50" s="159"/>
      <c r="NPF50" s="159"/>
      <c r="NPG50" s="159"/>
      <c r="NPH50" s="159"/>
      <c r="NPI50" s="159"/>
      <c r="NPJ50" s="159"/>
      <c r="NPK50" s="159"/>
      <c r="NPL50" s="159"/>
      <c r="NPM50" s="159"/>
      <c r="NPN50" s="159"/>
      <c r="NPO50" s="159"/>
      <c r="NPP50" s="159"/>
      <c r="NPQ50" s="159"/>
      <c r="NPR50" s="159"/>
      <c r="NPS50" s="159"/>
      <c r="NPT50" s="159"/>
      <c r="NPU50" s="159"/>
      <c r="NPV50" s="159"/>
      <c r="NPW50" s="159"/>
      <c r="NPX50" s="159"/>
      <c r="NPY50" s="159"/>
      <c r="NPZ50" s="159"/>
      <c r="NQA50" s="159"/>
      <c r="NQB50" s="159"/>
      <c r="NQC50" s="159"/>
      <c r="NQD50" s="159"/>
      <c r="NQE50" s="159"/>
      <c r="NQF50" s="159"/>
      <c r="NQG50" s="159"/>
      <c r="NQH50" s="159"/>
      <c r="NQI50" s="159"/>
      <c r="NQJ50" s="159"/>
      <c r="NQK50" s="159"/>
      <c r="NQL50" s="159"/>
      <c r="NQM50" s="159"/>
      <c r="NQN50" s="159"/>
      <c r="NQO50" s="159"/>
      <c r="NQP50" s="159"/>
      <c r="NQQ50" s="159"/>
      <c r="NQR50" s="159"/>
      <c r="NQS50" s="159"/>
      <c r="NQT50" s="159"/>
      <c r="NQU50" s="159"/>
      <c r="NQV50" s="159"/>
      <c r="NQW50" s="159"/>
      <c r="NQX50" s="159"/>
      <c r="NQY50" s="159"/>
      <c r="NQZ50" s="159"/>
      <c r="NRA50" s="159"/>
      <c r="NRB50" s="159"/>
      <c r="NRC50" s="159"/>
      <c r="NRD50" s="159"/>
      <c r="NRE50" s="159"/>
      <c r="NRF50" s="159"/>
      <c r="NRG50" s="159"/>
      <c r="NRH50" s="159"/>
      <c r="NRI50" s="159"/>
      <c r="NRJ50" s="159"/>
      <c r="NRK50" s="159"/>
      <c r="NRL50" s="159"/>
      <c r="NRM50" s="159"/>
      <c r="NRN50" s="159"/>
      <c r="NRO50" s="159"/>
      <c r="NRP50" s="159"/>
      <c r="NRQ50" s="159"/>
      <c r="NRR50" s="159"/>
      <c r="NRS50" s="159"/>
      <c r="NRT50" s="159"/>
      <c r="NRU50" s="159"/>
      <c r="NRV50" s="159"/>
      <c r="NRW50" s="159"/>
      <c r="NRX50" s="159"/>
      <c r="NRY50" s="159"/>
      <c r="NRZ50" s="159"/>
      <c r="NSA50" s="159"/>
      <c r="NSB50" s="159"/>
      <c r="NSC50" s="159"/>
      <c r="NSD50" s="159"/>
      <c r="NSE50" s="159"/>
      <c r="NSF50" s="159"/>
      <c r="NSG50" s="159"/>
      <c r="NSH50" s="159"/>
      <c r="NSI50" s="159"/>
      <c r="NSJ50" s="159"/>
      <c r="NSK50" s="159"/>
      <c r="NSL50" s="159"/>
      <c r="NSM50" s="159"/>
      <c r="NSN50" s="159"/>
      <c r="NSO50" s="159"/>
      <c r="NSP50" s="159"/>
      <c r="NSQ50" s="159"/>
      <c r="NSR50" s="159"/>
      <c r="NSS50" s="159"/>
      <c r="NST50" s="159"/>
      <c r="NSU50" s="159"/>
      <c r="NSV50" s="159"/>
      <c r="NSW50" s="159"/>
      <c r="NSX50" s="159"/>
      <c r="NSY50" s="159"/>
      <c r="NSZ50" s="159"/>
      <c r="NTA50" s="159"/>
      <c r="NTB50" s="159"/>
      <c r="NTC50" s="159"/>
      <c r="NTD50" s="159"/>
      <c r="NTE50" s="159"/>
      <c r="NTF50" s="159"/>
      <c r="NTG50" s="159"/>
      <c r="NTH50" s="159"/>
      <c r="NTI50" s="159"/>
      <c r="NTJ50" s="159"/>
      <c r="NTK50" s="159"/>
      <c r="NTL50" s="159"/>
      <c r="NTM50" s="159"/>
      <c r="NTN50" s="159"/>
      <c r="NTO50" s="159"/>
      <c r="NTP50" s="159"/>
      <c r="NTQ50" s="159"/>
      <c r="NTR50" s="159"/>
      <c r="NTS50" s="159"/>
      <c r="NTT50" s="159"/>
      <c r="NTU50" s="159"/>
      <c r="NTV50" s="159"/>
      <c r="NTW50" s="159"/>
      <c r="NTX50" s="159"/>
      <c r="NTY50" s="159"/>
      <c r="NTZ50" s="159"/>
      <c r="NUA50" s="159"/>
      <c r="NUB50" s="159"/>
      <c r="NUC50" s="159"/>
      <c r="NUD50" s="159"/>
      <c r="NUE50" s="159"/>
      <c r="NUF50" s="159"/>
      <c r="NUG50" s="159"/>
      <c r="NUH50" s="159"/>
      <c r="NUI50" s="159"/>
      <c r="NUJ50" s="159"/>
      <c r="NUK50" s="159"/>
      <c r="NUL50" s="159"/>
      <c r="NUM50" s="159"/>
      <c r="NUN50" s="159"/>
      <c r="NUO50" s="159"/>
      <c r="NUP50" s="159"/>
      <c r="NUQ50" s="159"/>
      <c r="NUR50" s="159"/>
      <c r="NUS50" s="159"/>
      <c r="NUT50" s="159"/>
      <c r="NUU50" s="159"/>
      <c r="NUV50" s="159"/>
      <c r="NUW50" s="159"/>
      <c r="NUX50" s="159"/>
      <c r="NUY50" s="159"/>
      <c r="NUZ50" s="159"/>
      <c r="NVA50" s="159"/>
      <c r="NVB50" s="159"/>
      <c r="NVC50" s="159"/>
      <c r="NVD50" s="159"/>
      <c r="NVE50" s="159"/>
      <c r="NVF50" s="159"/>
      <c r="NVG50" s="159"/>
      <c r="NVH50" s="159"/>
      <c r="NVI50" s="159"/>
      <c r="NVJ50" s="159"/>
      <c r="NVK50" s="159"/>
      <c r="NVL50" s="159"/>
      <c r="NVM50" s="159"/>
      <c r="NVN50" s="159"/>
      <c r="NVO50" s="159"/>
      <c r="NVP50" s="159"/>
      <c r="NVQ50" s="159"/>
      <c r="NVR50" s="159"/>
      <c r="NVS50" s="159"/>
      <c r="NVT50" s="159"/>
      <c r="NVU50" s="159"/>
      <c r="NVV50" s="159"/>
      <c r="NVW50" s="159"/>
      <c r="NVX50" s="159"/>
      <c r="NVY50" s="159"/>
      <c r="NVZ50" s="159"/>
      <c r="NWA50" s="159"/>
      <c r="NWB50" s="159"/>
      <c r="NWC50" s="159"/>
      <c r="NWD50" s="159"/>
      <c r="NWE50" s="159"/>
      <c r="NWF50" s="159"/>
      <c r="NWG50" s="159"/>
      <c r="NWH50" s="159"/>
      <c r="NWI50" s="159"/>
      <c r="NWJ50" s="159"/>
      <c r="NWK50" s="159"/>
      <c r="NWL50" s="159"/>
      <c r="NWM50" s="159"/>
      <c r="NWN50" s="159"/>
      <c r="NWO50" s="159"/>
      <c r="NWP50" s="159"/>
      <c r="NWQ50" s="159"/>
      <c r="NWR50" s="159"/>
      <c r="NWS50" s="159"/>
      <c r="NWT50" s="159"/>
      <c r="NWU50" s="159"/>
      <c r="NWV50" s="159"/>
      <c r="NWW50" s="159"/>
      <c r="NWX50" s="159"/>
      <c r="NWY50" s="159"/>
      <c r="NWZ50" s="159"/>
      <c r="NXA50" s="159"/>
      <c r="NXB50" s="159"/>
      <c r="NXC50" s="159"/>
      <c r="NXD50" s="159"/>
      <c r="NXE50" s="159"/>
      <c r="NXF50" s="159"/>
      <c r="NXG50" s="159"/>
      <c r="NXH50" s="159"/>
      <c r="NXI50" s="159"/>
      <c r="NXJ50" s="159"/>
      <c r="NXK50" s="159"/>
      <c r="NXL50" s="159"/>
      <c r="NXM50" s="159"/>
      <c r="NXN50" s="159"/>
      <c r="NXO50" s="159"/>
      <c r="NXP50" s="159"/>
      <c r="NXQ50" s="159"/>
      <c r="NXR50" s="159"/>
      <c r="NXS50" s="159"/>
      <c r="NXT50" s="159"/>
      <c r="NXU50" s="159"/>
      <c r="NXV50" s="159"/>
      <c r="NXW50" s="159"/>
      <c r="NXX50" s="159"/>
      <c r="NXY50" s="159"/>
      <c r="NXZ50" s="159"/>
      <c r="NYA50" s="159"/>
      <c r="NYB50" s="159"/>
      <c r="NYC50" s="159"/>
      <c r="NYD50" s="159"/>
      <c r="NYE50" s="159"/>
      <c r="NYF50" s="159"/>
      <c r="NYG50" s="159"/>
      <c r="NYH50" s="159"/>
      <c r="NYI50" s="159"/>
      <c r="NYJ50" s="159"/>
      <c r="NYK50" s="159"/>
      <c r="NYL50" s="159"/>
      <c r="NYM50" s="159"/>
      <c r="NYN50" s="159"/>
      <c r="NYO50" s="159"/>
      <c r="NYP50" s="159"/>
      <c r="NYQ50" s="159"/>
      <c r="NYR50" s="159"/>
      <c r="NYS50" s="159"/>
      <c r="NYT50" s="159"/>
      <c r="NYU50" s="159"/>
      <c r="NYV50" s="159"/>
      <c r="NYW50" s="159"/>
      <c r="NYX50" s="159"/>
      <c r="NYY50" s="159"/>
      <c r="NYZ50" s="159"/>
      <c r="NZA50" s="159"/>
      <c r="NZB50" s="159"/>
      <c r="NZC50" s="159"/>
      <c r="NZD50" s="159"/>
      <c r="NZE50" s="159"/>
      <c r="NZF50" s="159"/>
      <c r="NZG50" s="159"/>
      <c r="NZH50" s="159"/>
      <c r="NZI50" s="159"/>
      <c r="NZJ50" s="159"/>
      <c r="NZK50" s="159"/>
      <c r="NZL50" s="159"/>
      <c r="NZM50" s="159"/>
      <c r="NZN50" s="159"/>
      <c r="NZO50" s="159"/>
      <c r="NZP50" s="159"/>
      <c r="NZQ50" s="159"/>
      <c r="NZR50" s="159"/>
      <c r="NZS50" s="159"/>
      <c r="NZT50" s="159"/>
      <c r="NZU50" s="159"/>
      <c r="NZV50" s="159"/>
      <c r="NZW50" s="159"/>
      <c r="NZX50" s="159"/>
      <c r="NZY50" s="159"/>
      <c r="NZZ50" s="159"/>
      <c r="OAA50" s="159"/>
      <c r="OAB50" s="159"/>
      <c r="OAC50" s="159"/>
      <c r="OAD50" s="159"/>
      <c r="OAE50" s="159"/>
      <c r="OAF50" s="159"/>
      <c r="OAG50" s="159"/>
      <c r="OAH50" s="159"/>
      <c r="OAI50" s="159"/>
      <c r="OAJ50" s="159"/>
      <c r="OAK50" s="159"/>
      <c r="OAL50" s="159"/>
      <c r="OAM50" s="159"/>
      <c r="OAN50" s="159"/>
      <c r="OAO50" s="159"/>
      <c r="OAP50" s="159"/>
      <c r="OAQ50" s="159"/>
      <c r="OAR50" s="159"/>
      <c r="OAS50" s="159"/>
      <c r="OAT50" s="159"/>
      <c r="OAU50" s="159"/>
      <c r="OAV50" s="159"/>
      <c r="OAW50" s="159"/>
      <c r="OAX50" s="159"/>
      <c r="OAY50" s="159"/>
      <c r="OAZ50" s="159"/>
      <c r="OBA50" s="159"/>
      <c r="OBB50" s="159"/>
      <c r="OBC50" s="159"/>
      <c r="OBD50" s="159"/>
      <c r="OBE50" s="159"/>
      <c r="OBF50" s="159"/>
      <c r="OBG50" s="159"/>
      <c r="OBH50" s="159"/>
      <c r="OBI50" s="159"/>
      <c r="OBJ50" s="159"/>
      <c r="OBK50" s="159"/>
      <c r="OBL50" s="159"/>
      <c r="OBM50" s="159"/>
      <c r="OBN50" s="159"/>
      <c r="OBO50" s="159"/>
      <c r="OBP50" s="159"/>
      <c r="OBQ50" s="159"/>
      <c r="OBR50" s="159"/>
      <c r="OBS50" s="159"/>
      <c r="OBT50" s="159"/>
      <c r="OBU50" s="159"/>
      <c r="OBV50" s="159"/>
      <c r="OBW50" s="159"/>
      <c r="OBX50" s="159"/>
      <c r="OBY50" s="159"/>
      <c r="OBZ50" s="159"/>
      <c r="OCA50" s="159"/>
      <c r="OCB50" s="159"/>
      <c r="OCC50" s="159"/>
      <c r="OCD50" s="159"/>
      <c r="OCE50" s="159"/>
      <c r="OCF50" s="159"/>
      <c r="OCG50" s="159"/>
      <c r="OCH50" s="159"/>
      <c r="OCI50" s="159"/>
      <c r="OCJ50" s="159"/>
      <c r="OCK50" s="159"/>
      <c r="OCL50" s="159"/>
      <c r="OCM50" s="159"/>
      <c r="OCN50" s="159"/>
      <c r="OCO50" s="159"/>
      <c r="OCP50" s="159"/>
      <c r="OCQ50" s="159"/>
      <c r="OCR50" s="159"/>
      <c r="OCS50" s="159"/>
      <c r="OCT50" s="159"/>
      <c r="OCU50" s="159"/>
      <c r="OCV50" s="159"/>
      <c r="OCW50" s="159"/>
      <c r="OCX50" s="159"/>
      <c r="OCY50" s="159"/>
      <c r="OCZ50" s="159"/>
      <c r="ODA50" s="159"/>
      <c r="ODB50" s="159"/>
      <c r="ODC50" s="159"/>
      <c r="ODD50" s="159"/>
      <c r="ODE50" s="159"/>
      <c r="ODF50" s="159"/>
      <c r="ODG50" s="159"/>
      <c r="ODH50" s="159"/>
      <c r="ODI50" s="159"/>
      <c r="ODJ50" s="159"/>
      <c r="ODK50" s="159"/>
      <c r="ODL50" s="159"/>
      <c r="ODM50" s="159"/>
      <c r="ODN50" s="159"/>
      <c r="ODO50" s="159"/>
      <c r="ODP50" s="159"/>
      <c r="ODQ50" s="159"/>
      <c r="ODR50" s="159"/>
      <c r="ODS50" s="159"/>
      <c r="ODT50" s="159"/>
      <c r="ODU50" s="159"/>
      <c r="ODV50" s="159"/>
      <c r="ODW50" s="159"/>
      <c r="ODX50" s="159"/>
      <c r="ODY50" s="159"/>
      <c r="ODZ50" s="159"/>
      <c r="OEA50" s="159"/>
      <c r="OEB50" s="159"/>
      <c r="OEC50" s="159"/>
      <c r="OED50" s="159"/>
      <c r="OEE50" s="159"/>
      <c r="OEF50" s="159"/>
      <c r="OEG50" s="159"/>
      <c r="OEH50" s="159"/>
      <c r="OEI50" s="159"/>
      <c r="OEJ50" s="159"/>
      <c r="OEK50" s="159"/>
      <c r="OEL50" s="159"/>
      <c r="OEM50" s="159"/>
      <c r="OEN50" s="159"/>
      <c r="OEO50" s="159"/>
      <c r="OEP50" s="159"/>
      <c r="OEQ50" s="159"/>
      <c r="OER50" s="159"/>
      <c r="OES50" s="159"/>
      <c r="OET50" s="159"/>
      <c r="OEU50" s="159"/>
      <c r="OEV50" s="159"/>
      <c r="OEW50" s="159"/>
      <c r="OEX50" s="159"/>
      <c r="OEY50" s="159"/>
      <c r="OEZ50" s="159"/>
      <c r="OFA50" s="159"/>
      <c r="OFB50" s="159"/>
      <c r="OFC50" s="159"/>
      <c r="OFD50" s="159"/>
      <c r="OFE50" s="159"/>
      <c r="OFF50" s="159"/>
      <c r="OFG50" s="159"/>
      <c r="OFH50" s="159"/>
      <c r="OFI50" s="159"/>
      <c r="OFJ50" s="159"/>
      <c r="OFK50" s="159"/>
      <c r="OFL50" s="159"/>
      <c r="OFM50" s="159"/>
      <c r="OFN50" s="159"/>
      <c r="OFO50" s="159"/>
      <c r="OFP50" s="159"/>
      <c r="OFQ50" s="159"/>
      <c r="OFR50" s="159"/>
      <c r="OFS50" s="159"/>
      <c r="OFT50" s="159"/>
      <c r="OFU50" s="159"/>
      <c r="OFV50" s="159"/>
      <c r="OFW50" s="159"/>
      <c r="OFX50" s="159"/>
      <c r="OFY50" s="159"/>
      <c r="OFZ50" s="159"/>
      <c r="OGA50" s="159"/>
      <c r="OGB50" s="159"/>
      <c r="OGC50" s="159"/>
      <c r="OGD50" s="159"/>
      <c r="OGE50" s="159"/>
      <c r="OGF50" s="159"/>
      <c r="OGG50" s="159"/>
      <c r="OGH50" s="159"/>
      <c r="OGI50" s="159"/>
      <c r="OGJ50" s="159"/>
      <c r="OGK50" s="159"/>
      <c r="OGL50" s="159"/>
      <c r="OGM50" s="159"/>
      <c r="OGN50" s="159"/>
      <c r="OGO50" s="159"/>
      <c r="OGP50" s="159"/>
      <c r="OGQ50" s="159"/>
      <c r="OGR50" s="159"/>
      <c r="OGS50" s="159"/>
      <c r="OGT50" s="159"/>
      <c r="OGU50" s="159"/>
      <c r="OGV50" s="159"/>
      <c r="OGW50" s="159"/>
      <c r="OGX50" s="159"/>
      <c r="OGY50" s="159"/>
      <c r="OGZ50" s="159"/>
      <c r="OHA50" s="159"/>
      <c r="OHB50" s="159"/>
      <c r="OHC50" s="159"/>
      <c r="OHD50" s="159"/>
      <c r="OHE50" s="159"/>
      <c r="OHF50" s="159"/>
      <c r="OHG50" s="159"/>
      <c r="OHH50" s="159"/>
      <c r="OHI50" s="159"/>
      <c r="OHJ50" s="159"/>
      <c r="OHK50" s="159"/>
      <c r="OHL50" s="159"/>
      <c r="OHM50" s="159"/>
      <c r="OHN50" s="159"/>
      <c r="OHO50" s="159"/>
      <c r="OHP50" s="159"/>
      <c r="OHQ50" s="159"/>
      <c r="OHR50" s="159"/>
      <c r="OHS50" s="159"/>
      <c r="OHT50" s="159"/>
      <c r="OHU50" s="159"/>
      <c r="OHV50" s="159"/>
      <c r="OHW50" s="159"/>
      <c r="OHX50" s="159"/>
      <c r="OHY50" s="159"/>
      <c r="OHZ50" s="159"/>
      <c r="OIA50" s="159"/>
      <c r="OIB50" s="159"/>
      <c r="OIC50" s="159"/>
      <c r="OID50" s="159"/>
      <c r="OIE50" s="159"/>
      <c r="OIF50" s="159"/>
      <c r="OIG50" s="159"/>
      <c r="OIH50" s="159"/>
      <c r="OII50" s="159"/>
      <c r="OIJ50" s="159"/>
      <c r="OIK50" s="159"/>
      <c r="OIL50" s="159"/>
      <c r="OIM50" s="159"/>
      <c r="OIN50" s="159"/>
      <c r="OIO50" s="159"/>
      <c r="OIP50" s="159"/>
      <c r="OIQ50" s="159"/>
      <c r="OIR50" s="159"/>
      <c r="OIS50" s="159"/>
      <c r="OIT50" s="159"/>
      <c r="OIU50" s="159"/>
      <c r="OIV50" s="159"/>
      <c r="OIW50" s="159"/>
      <c r="OIX50" s="159"/>
      <c r="OIY50" s="159"/>
      <c r="OIZ50" s="159"/>
      <c r="OJA50" s="159"/>
      <c r="OJB50" s="159"/>
      <c r="OJC50" s="159"/>
      <c r="OJD50" s="159"/>
      <c r="OJE50" s="159"/>
      <c r="OJF50" s="159"/>
      <c r="OJG50" s="159"/>
      <c r="OJH50" s="159"/>
      <c r="OJI50" s="159"/>
      <c r="OJJ50" s="159"/>
      <c r="OJK50" s="159"/>
      <c r="OJL50" s="159"/>
      <c r="OJM50" s="159"/>
      <c r="OJN50" s="159"/>
      <c r="OJO50" s="159"/>
      <c r="OJP50" s="159"/>
      <c r="OJQ50" s="159"/>
      <c r="OJR50" s="159"/>
      <c r="OJS50" s="159"/>
      <c r="OJT50" s="159"/>
      <c r="OJU50" s="159"/>
      <c r="OJV50" s="159"/>
      <c r="OJW50" s="159"/>
      <c r="OJX50" s="159"/>
      <c r="OJY50" s="159"/>
      <c r="OJZ50" s="159"/>
      <c r="OKA50" s="159"/>
      <c r="OKB50" s="159"/>
      <c r="OKC50" s="159"/>
      <c r="OKD50" s="159"/>
      <c r="OKE50" s="159"/>
      <c r="OKF50" s="159"/>
      <c r="OKG50" s="159"/>
      <c r="OKH50" s="159"/>
      <c r="OKI50" s="159"/>
      <c r="OKJ50" s="159"/>
      <c r="OKK50" s="159"/>
      <c r="OKL50" s="159"/>
      <c r="OKM50" s="159"/>
      <c r="OKN50" s="159"/>
      <c r="OKO50" s="159"/>
      <c r="OKP50" s="159"/>
      <c r="OKQ50" s="159"/>
      <c r="OKR50" s="159"/>
      <c r="OKS50" s="159"/>
      <c r="OKT50" s="159"/>
      <c r="OKU50" s="159"/>
      <c r="OKV50" s="159"/>
      <c r="OKW50" s="159"/>
      <c r="OKX50" s="159"/>
      <c r="OKY50" s="159"/>
      <c r="OKZ50" s="159"/>
      <c r="OLA50" s="159"/>
      <c r="OLB50" s="159"/>
      <c r="OLC50" s="159"/>
      <c r="OLD50" s="159"/>
      <c r="OLE50" s="159"/>
      <c r="OLF50" s="159"/>
      <c r="OLG50" s="159"/>
      <c r="OLH50" s="159"/>
      <c r="OLI50" s="159"/>
      <c r="OLJ50" s="159"/>
      <c r="OLK50" s="159"/>
      <c r="OLL50" s="159"/>
      <c r="OLM50" s="159"/>
      <c r="OLN50" s="159"/>
      <c r="OLO50" s="159"/>
      <c r="OLP50" s="159"/>
      <c r="OLQ50" s="159"/>
      <c r="OLR50" s="159"/>
      <c r="OLS50" s="159"/>
      <c r="OLT50" s="159"/>
      <c r="OLU50" s="159"/>
      <c r="OLV50" s="159"/>
      <c r="OLW50" s="159"/>
      <c r="OLX50" s="159"/>
      <c r="OLY50" s="159"/>
      <c r="OLZ50" s="159"/>
      <c r="OMA50" s="159"/>
      <c r="OMB50" s="159"/>
      <c r="OMC50" s="159"/>
      <c r="OMD50" s="159"/>
      <c r="OME50" s="159"/>
      <c r="OMF50" s="159"/>
      <c r="OMG50" s="159"/>
      <c r="OMH50" s="159"/>
      <c r="OMI50" s="159"/>
      <c r="OMJ50" s="159"/>
      <c r="OMK50" s="159"/>
      <c r="OML50" s="159"/>
      <c r="OMM50" s="159"/>
      <c r="OMN50" s="159"/>
      <c r="OMO50" s="159"/>
      <c r="OMP50" s="159"/>
      <c r="OMQ50" s="159"/>
      <c r="OMR50" s="159"/>
      <c r="OMS50" s="159"/>
      <c r="OMT50" s="159"/>
      <c r="OMU50" s="159"/>
      <c r="OMV50" s="159"/>
      <c r="OMW50" s="159"/>
      <c r="OMX50" s="159"/>
      <c r="OMY50" s="159"/>
      <c r="OMZ50" s="159"/>
      <c r="ONA50" s="159"/>
      <c r="ONB50" s="159"/>
      <c r="ONC50" s="159"/>
      <c r="OND50" s="159"/>
      <c r="ONE50" s="159"/>
      <c r="ONF50" s="159"/>
      <c r="ONG50" s="159"/>
      <c r="ONH50" s="159"/>
      <c r="ONI50" s="159"/>
      <c r="ONJ50" s="159"/>
      <c r="ONK50" s="159"/>
      <c r="ONL50" s="159"/>
      <c r="ONM50" s="159"/>
      <c r="ONN50" s="159"/>
      <c r="ONO50" s="159"/>
      <c r="ONP50" s="159"/>
      <c r="ONQ50" s="159"/>
      <c r="ONR50" s="159"/>
      <c r="ONS50" s="159"/>
      <c r="ONT50" s="159"/>
      <c r="ONU50" s="159"/>
      <c r="ONV50" s="159"/>
      <c r="ONW50" s="159"/>
      <c r="ONX50" s="159"/>
      <c r="ONY50" s="159"/>
      <c r="ONZ50" s="159"/>
      <c r="OOA50" s="159"/>
      <c r="OOB50" s="159"/>
      <c r="OOC50" s="159"/>
      <c r="OOD50" s="159"/>
      <c r="OOE50" s="159"/>
      <c r="OOF50" s="159"/>
      <c r="OOG50" s="159"/>
      <c r="OOH50" s="159"/>
      <c r="OOI50" s="159"/>
      <c r="OOJ50" s="159"/>
      <c r="OOK50" s="159"/>
      <c r="OOL50" s="159"/>
      <c r="OOM50" s="159"/>
      <c r="OON50" s="159"/>
      <c r="OOO50" s="159"/>
      <c r="OOP50" s="159"/>
      <c r="OOQ50" s="159"/>
      <c r="OOR50" s="159"/>
      <c r="OOS50" s="159"/>
      <c r="OOT50" s="159"/>
      <c r="OOU50" s="159"/>
      <c r="OOV50" s="159"/>
      <c r="OOW50" s="159"/>
      <c r="OOX50" s="159"/>
      <c r="OOY50" s="159"/>
      <c r="OOZ50" s="159"/>
      <c r="OPA50" s="159"/>
      <c r="OPB50" s="159"/>
      <c r="OPC50" s="159"/>
      <c r="OPD50" s="159"/>
      <c r="OPE50" s="159"/>
      <c r="OPF50" s="159"/>
      <c r="OPG50" s="159"/>
      <c r="OPH50" s="159"/>
      <c r="OPI50" s="159"/>
      <c r="OPJ50" s="159"/>
      <c r="OPK50" s="159"/>
      <c r="OPL50" s="159"/>
      <c r="OPM50" s="159"/>
      <c r="OPN50" s="159"/>
      <c r="OPO50" s="159"/>
      <c r="OPP50" s="159"/>
      <c r="OPQ50" s="159"/>
      <c r="OPR50" s="159"/>
      <c r="OPS50" s="159"/>
      <c r="OPT50" s="159"/>
      <c r="OPU50" s="159"/>
      <c r="OPV50" s="159"/>
      <c r="OPW50" s="159"/>
      <c r="OPX50" s="159"/>
      <c r="OPY50" s="159"/>
      <c r="OPZ50" s="159"/>
      <c r="OQA50" s="159"/>
      <c r="OQB50" s="159"/>
      <c r="OQC50" s="159"/>
      <c r="OQD50" s="159"/>
      <c r="OQE50" s="159"/>
      <c r="OQF50" s="159"/>
      <c r="OQG50" s="159"/>
      <c r="OQH50" s="159"/>
      <c r="OQI50" s="159"/>
      <c r="OQJ50" s="159"/>
      <c r="OQK50" s="159"/>
      <c r="OQL50" s="159"/>
      <c r="OQM50" s="159"/>
      <c r="OQN50" s="159"/>
      <c r="OQO50" s="159"/>
      <c r="OQP50" s="159"/>
      <c r="OQQ50" s="159"/>
      <c r="OQR50" s="159"/>
      <c r="OQS50" s="159"/>
      <c r="OQT50" s="159"/>
      <c r="OQU50" s="159"/>
      <c r="OQV50" s="159"/>
      <c r="OQW50" s="159"/>
      <c r="OQX50" s="159"/>
      <c r="OQY50" s="159"/>
      <c r="OQZ50" s="159"/>
      <c r="ORA50" s="159"/>
      <c r="ORB50" s="159"/>
      <c r="ORC50" s="159"/>
      <c r="ORD50" s="159"/>
      <c r="ORE50" s="159"/>
      <c r="ORF50" s="159"/>
      <c r="ORG50" s="159"/>
      <c r="ORH50" s="159"/>
      <c r="ORI50" s="159"/>
      <c r="ORJ50" s="159"/>
      <c r="ORK50" s="159"/>
      <c r="ORL50" s="159"/>
      <c r="ORM50" s="159"/>
      <c r="ORN50" s="159"/>
      <c r="ORO50" s="159"/>
      <c r="ORP50" s="159"/>
      <c r="ORQ50" s="159"/>
      <c r="ORR50" s="159"/>
      <c r="ORS50" s="159"/>
      <c r="ORT50" s="159"/>
      <c r="ORU50" s="159"/>
      <c r="ORV50" s="159"/>
      <c r="ORW50" s="159"/>
      <c r="ORX50" s="159"/>
      <c r="ORY50" s="159"/>
      <c r="ORZ50" s="159"/>
      <c r="OSA50" s="159"/>
      <c r="OSB50" s="159"/>
      <c r="OSC50" s="159"/>
      <c r="OSD50" s="159"/>
      <c r="OSE50" s="159"/>
      <c r="OSF50" s="159"/>
      <c r="OSG50" s="159"/>
      <c r="OSH50" s="159"/>
      <c r="OSI50" s="159"/>
      <c r="OSJ50" s="159"/>
      <c r="OSK50" s="159"/>
      <c r="OSL50" s="159"/>
      <c r="OSM50" s="159"/>
      <c r="OSN50" s="159"/>
      <c r="OSO50" s="159"/>
      <c r="OSP50" s="159"/>
      <c r="OSQ50" s="159"/>
      <c r="OSR50" s="159"/>
      <c r="OSS50" s="159"/>
      <c r="OST50" s="159"/>
      <c r="OSU50" s="159"/>
      <c r="OSV50" s="159"/>
      <c r="OSW50" s="159"/>
      <c r="OSX50" s="159"/>
      <c r="OSY50" s="159"/>
      <c r="OSZ50" s="159"/>
      <c r="OTA50" s="159"/>
      <c r="OTB50" s="159"/>
      <c r="OTC50" s="159"/>
      <c r="OTD50" s="159"/>
      <c r="OTE50" s="159"/>
      <c r="OTF50" s="159"/>
      <c r="OTG50" s="159"/>
      <c r="OTH50" s="159"/>
      <c r="OTI50" s="159"/>
      <c r="OTJ50" s="159"/>
      <c r="OTK50" s="159"/>
      <c r="OTL50" s="159"/>
      <c r="OTM50" s="159"/>
      <c r="OTN50" s="159"/>
      <c r="OTO50" s="159"/>
      <c r="OTP50" s="159"/>
      <c r="OTQ50" s="159"/>
      <c r="OTR50" s="159"/>
      <c r="OTS50" s="159"/>
      <c r="OTT50" s="159"/>
      <c r="OTU50" s="159"/>
      <c r="OTV50" s="159"/>
      <c r="OTW50" s="159"/>
      <c r="OTX50" s="159"/>
      <c r="OTY50" s="159"/>
      <c r="OTZ50" s="159"/>
      <c r="OUA50" s="159"/>
      <c r="OUB50" s="159"/>
      <c r="OUC50" s="159"/>
      <c r="OUD50" s="159"/>
      <c r="OUE50" s="159"/>
      <c r="OUF50" s="159"/>
      <c r="OUG50" s="159"/>
      <c r="OUH50" s="159"/>
      <c r="OUI50" s="159"/>
      <c r="OUJ50" s="159"/>
      <c r="OUK50" s="159"/>
      <c r="OUL50" s="159"/>
      <c r="OUM50" s="159"/>
      <c r="OUN50" s="159"/>
      <c r="OUO50" s="159"/>
      <c r="OUP50" s="159"/>
      <c r="OUQ50" s="159"/>
      <c r="OUR50" s="159"/>
      <c r="OUS50" s="159"/>
      <c r="OUT50" s="159"/>
      <c r="OUU50" s="159"/>
      <c r="OUV50" s="159"/>
      <c r="OUW50" s="159"/>
      <c r="OUX50" s="159"/>
      <c r="OUY50" s="159"/>
      <c r="OUZ50" s="159"/>
      <c r="OVA50" s="159"/>
      <c r="OVB50" s="159"/>
      <c r="OVC50" s="159"/>
      <c r="OVD50" s="159"/>
      <c r="OVE50" s="159"/>
      <c r="OVF50" s="159"/>
      <c r="OVG50" s="159"/>
      <c r="OVH50" s="159"/>
      <c r="OVI50" s="159"/>
      <c r="OVJ50" s="159"/>
      <c r="OVK50" s="159"/>
      <c r="OVL50" s="159"/>
      <c r="OVM50" s="159"/>
      <c r="OVN50" s="159"/>
      <c r="OVO50" s="159"/>
      <c r="OVP50" s="159"/>
      <c r="OVQ50" s="159"/>
      <c r="OVR50" s="159"/>
      <c r="OVS50" s="159"/>
      <c r="OVT50" s="159"/>
      <c r="OVU50" s="159"/>
      <c r="OVV50" s="159"/>
      <c r="OVW50" s="159"/>
      <c r="OVX50" s="159"/>
      <c r="OVY50" s="159"/>
      <c r="OVZ50" s="159"/>
      <c r="OWA50" s="159"/>
      <c r="OWB50" s="159"/>
      <c r="OWC50" s="159"/>
      <c r="OWD50" s="159"/>
      <c r="OWE50" s="159"/>
      <c r="OWF50" s="159"/>
      <c r="OWG50" s="159"/>
      <c r="OWH50" s="159"/>
      <c r="OWI50" s="159"/>
      <c r="OWJ50" s="159"/>
      <c r="OWK50" s="159"/>
      <c r="OWL50" s="159"/>
      <c r="OWM50" s="159"/>
      <c r="OWN50" s="159"/>
      <c r="OWO50" s="159"/>
      <c r="OWP50" s="159"/>
      <c r="OWQ50" s="159"/>
      <c r="OWR50" s="159"/>
      <c r="OWS50" s="159"/>
      <c r="OWT50" s="159"/>
      <c r="OWU50" s="159"/>
      <c r="OWV50" s="159"/>
      <c r="OWW50" s="159"/>
      <c r="OWX50" s="159"/>
      <c r="OWY50" s="159"/>
      <c r="OWZ50" s="159"/>
      <c r="OXA50" s="159"/>
      <c r="OXB50" s="159"/>
      <c r="OXC50" s="159"/>
      <c r="OXD50" s="159"/>
      <c r="OXE50" s="159"/>
      <c r="OXF50" s="159"/>
      <c r="OXG50" s="159"/>
      <c r="OXH50" s="159"/>
      <c r="OXI50" s="159"/>
      <c r="OXJ50" s="159"/>
      <c r="OXK50" s="159"/>
      <c r="OXL50" s="159"/>
      <c r="OXM50" s="159"/>
      <c r="OXN50" s="159"/>
      <c r="OXO50" s="159"/>
      <c r="OXP50" s="159"/>
      <c r="OXQ50" s="159"/>
      <c r="OXR50" s="159"/>
      <c r="OXS50" s="159"/>
      <c r="OXT50" s="159"/>
      <c r="OXU50" s="159"/>
      <c r="OXV50" s="159"/>
      <c r="OXW50" s="159"/>
      <c r="OXX50" s="159"/>
      <c r="OXY50" s="159"/>
      <c r="OXZ50" s="159"/>
      <c r="OYA50" s="159"/>
      <c r="OYB50" s="159"/>
      <c r="OYC50" s="159"/>
      <c r="OYD50" s="159"/>
      <c r="OYE50" s="159"/>
      <c r="OYF50" s="159"/>
      <c r="OYG50" s="159"/>
      <c r="OYH50" s="159"/>
      <c r="OYI50" s="159"/>
      <c r="OYJ50" s="159"/>
      <c r="OYK50" s="159"/>
      <c r="OYL50" s="159"/>
      <c r="OYM50" s="159"/>
      <c r="OYN50" s="159"/>
      <c r="OYO50" s="159"/>
      <c r="OYP50" s="159"/>
      <c r="OYQ50" s="159"/>
      <c r="OYR50" s="159"/>
      <c r="OYS50" s="159"/>
      <c r="OYT50" s="159"/>
      <c r="OYU50" s="159"/>
      <c r="OYV50" s="159"/>
      <c r="OYW50" s="159"/>
      <c r="OYX50" s="159"/>
      <c r="OYY50" s="159"/>
      <c r="OYZ50" s="159"/>
      <c r="OZA50" s="159"/>
      <c r="OZB50" s="159"/>
      <c r="OZC50" s="159"/>
      <c r="OZD50" s="159"/>
      <c r="OZE50" s="159"/>
      <c r="OZF50" s="159"/>
      <c r="OZG50" s="159"/>
      <c r="OZH50" s="159"/>
      <c r="OZI50" s="159"/>
      <c r="OZJ50" s="159"/>
      <c r="OZK50" s="159"/>
      <c r="OZL50" s="159"/>
      <c r="OZM50" s="159"/>
      <c r="OZN50" s="159"/>
      <c r="OZO50" s="159"/>
      <c r="OZP50" s="159"/>
      <c r="OZQ50" s="159"/>
      <c r="OZR50" s="159"/>
      <c r="OZS50" s="159"/>
      <c r="OZT50" s="159"/>
      <c r="OZU50" s="159"/>
      <c r="OZV50" s="159"/>
      <c r="OZW50" s="159"/>
      <c r="OZX50" s="159"/>
      <c r="OZY50" s="159"/>
      <c r="OZZ50" s="159"/>
      <c r="PAA50" s="159"/>
      <c r="PAB50" s="159"/>
      <c r="PAC50" s="159"/>
      <c r="PAD50" s="159"/>
      <c r="PAE50" s="159"/>
      <c r="PAF50" s="159"/>
      <c r="PAG50" s="159"/>
      <c r="PAH50" s="159"/>
      <c r="PAI50" s="159"/>
      <c r="PAJ50" s="159"/>
      <c r="PAK50" s="159"/>
      <c r="PAL50" s="159"/>
      <c r="PAM50" s="159"/>
      <c r="PAN50" s="159"/>
      <c r="PAO50" s="159"/>
      <c r="PAP50" s="159"/>
      <c r="PAQ50" s="159"/>
      <c r="PAR50" s="159"/>
      <c r="PAS50" s="159"/>
      <c r="PAT50" s="159"/>
      <c r="PAU50" s="159"/>
      <c r="PAV50" s="159"/>
      <c r="PAW50" s="159"/>
      <c r="PAX50" s="159"/>
      <c r="PAY50" s="159"/>
      <c r="PAZ50" s="159"/>
      <c r="PBA50" s="159"/>
      <c r="PBB50" s="159"/>
      <c r="PBC50" s="159"/>
      <c r="PBD50" s="159"/>
      <c r="PBE50" s="159"/>
      <c r="PBF50" s="159"/>
      <c r="PBG50" s="159"/>
      <c r="PBH50" s="159"/>
      <c r="PBI50" s="159"/>
      <c r="PBJ50" s="159"/>
      <c r="PBK50" s="159"/>
      <c r="PBL50" s="159"/>
      <c r="PBM50" s="159"/>
      <c r="PBN50" s="159"/>
      <c r="PBO50" s="159"/>
      <c r="PBP50" s="159"/>
      <c r="PBQ50" s="159"/>
      <c r="PBR50" s="159"/>
      <c r="PBS50" s="159"/>
      <c r="PBT50" s="159"/>
      <c r="PBU50" s="159"/>
      <c r="PBV50" s="159"/>
      <c r="PBW50" s="159"/>
      <c r="PBX50" s="159"/>
      <c r="PBY50" s="159"/>
      <c r="PBZ50" s="159"/>
      <c r="PCA50" s="159"/>
      <c r="PCB50" s="159"/>
      <c r="PCC50" s="159"/>
      <c r="PCD50" s="159"/>
      <c r="PCE50" s="159"/>
      <c r="PCF50" s="159"/>
      <c r="PCG50" s="159"/>
      <c r="PCH50" s="159"/>
      <c r="PCI50" s="159"/>
      <c r="PCJ50" s="159"/>
      <c r="PCK50" s="159"/>
      <c r="PCL50" s="159"/>
      <c r="PCM50" s="159"/>
      <c r="PCN50" s="159"/>
      <c r="PCO50" s="159"/>
      <c r="PCP50" s="159"/>
      <c r="PCQ50" s="159"/>
      <c r="PCR50" s="159"/>
      <c r="PCS50" s="159"/>
      <c r="PCT50" s="159"/>
      <c r="PCU50" s="159"/>
      <c r="PCV50" s="159"/>
      <c r="PCW50" s="159"/>
      <c r="PCX50" s="159"/>
      <c r="PCY50" s="159"/>
      <c r="PCZ50" s="159"/>
      <c r="PDA50" s="159"/>
      <c r="PDB50" s="159"/>
      <c r="PDC50" s="159"/>
      <c r="PDD50" s="159"/>
      <c r="PDE50" s="159"/>
      <c r="PDF50" s="159"/>
      <c r="PDG50" s="159"/>
      <c r="PDH50" s="159"/>
      <c r="PDI50" s="159"/>
      <c r="PDJ50" s="159"/>
      <c r="PDK50" s="159"/>
      <c r="PDL50" s="159"/>
      <c r="PDM50" s="159"/>
      <c r="PDN50" s="159"/>
      <c r="PDO50" s="159"/>
      <c r="PDP50" s="159"/>
      <c r="PDQ50" s="159"/>
      <c r="PDR50" s="159"/>
      <c r="PDS50" s="159"/>
      <c r="PDT50" s="159"/>
      <c r="PDU50" s="159"/>
      <c r="PDV50" s="159"/>
      <c r="PDW50" s="159"/>
      <c r="PDX50" s="159"/>
      <c r="PDY50" s="159"/>
      <c r="PDZ50" s="159"/>
      <c r="PEA50" s="159"/>
      <c r="PEB50" s="159"/>
      <c r="PEC50" s="159"/>
      <c r="PED50" s="159"/>
      <c r="PEE50" s="159"/>
      <c r="PEF50" s="159"/>
      <c r="PEG50" s="159"/>
      <c r="PEH50" s="159"/>
      <c r="PEI50" s="159"/>
      <c r="PEJ50" s="159"/>
      <c r="PEK50" s="159"/>
      <c r="PEL50" s="159"/>
      <c r="PEM50" s="159"/>
      <c r="PEN50" s="159"/>
      <c r="PEO50" s="159"/>
      <c r="PEP50" s="159"/>
      <c r="PEQ50" s="159"/>
      <c r="PER50" s="159"/>
      <c r="PES50" s="159"/>
      <c r="PET50" s="159"/>
      <c r="PEU50" s="159"/>
      <c r="PEV50" s="159"/>
      <c r="PEW50" s="159"/>
      <c r="PEX50" s="159"/>
      <c r="PEY50" s="159"/>
      <c r="PEZ50" s="159"/>
      <c r="PFA50" s="159"/>
      <c r="PFB50" s="159"/>
      <c r="PFC50" s="159"/>
      <c r="PFD50" s="159"/>
      <c r="PFE50" s="159"/>
      <c r="PFF50" s="159"/>
      <c r="PFG50" s="159"/>
      <c r="PFH50" s="159"/>
      <c r="PFI50" s="159"/>
      <c r="PFJ50" s="159"/>
      <c r="PFK50" s="159"/>
      <c r="PFL50" s="159"/>
      <c r="PFM50" s="159"/>
      <c r="PFN50" s="159"/>
      <c r="PFO50" s="159"/>
      <c r="PFP50" s="159"/>
      <c r="PFQ50" s="159"/>
      <c r="PFR50" s="159"/>
      <c r="PFS50" s="159"/>
      <c r="PFT50" s="159"/>
      <c r="PFU50" s="159"/>
      <c r="PFV50" s="159"/>
      <c r="PFW50" s="159"/>
      <c r="PFX50" s="159"/>
      <c r="PFY50" s="159"/>
      <c r="PFZ50" s="159"/>
      <c r="PGA50" s="159"/>
      <c r="PGB50" s="159"/>
      <c r="PGC50" s="159"/>
      <c r="PGD50" s="159"/>
      <c r="PGE50" s="159"/>
      <c r="PGF50" s="159"/>
      <c r="PGG50" s="159"/>
      <c r="PGH50" s="159"/>
      <c r="PGI50" s="159"/>
      <c r="PGJ50" s="159"/>
      <c r="PGK50" s="159"/>
      <c r="PGL50" s="159"/>
      <c r="PGM50" s="159"/>
      <c r="PGN50" s="159"/>
      <c r="PGO50" s="159"/>
      <c r="PGP50" s="159"/>
      <c r="PGQ50" s="159"/>
      <c r="PGR50" s="159"/>
      <c r="PGS50" s="159"/>
      <c r="PGT50" s="159"/>
      <c r="PGU50" s="159"/>
      <c r="PGV50" s="159"/>
      <c r="PGW50" s="159"/>
      <c r="PGX50" s="159"/>
      <c r="PGY50" s="159"/>
      <c r="PGZ50" s="159"/>
      <c r="PHA50" s="159"/>
      <c r="PHB50" s="159"/>
      <c r="PHC50" s="159"/>
      <c r="PHD50" s="159"/>
      <c r="PHE50" s="159"/>
      <c r="PHF50" s="159"/>
      <c r="PHG50" s="159"/>
      <c r="PHH50" s="159"/>
      <c r="PHI50" s="159"/>
      <c r="PHJ50" s="159"/>
      <c r="PHK50" s="159"/>
      <c r="PHL50" s="159"/>
      <c r="PHM50" s="159"/>
      <c r="PHN50" s="159"/>
      <c r="PHO50" s="159"/>
      <c r="PHP50" s="159"/>
      <c r="PHQ50" s="159"/>
      <c r="PHR50" s="159"/>
      <c r="PHS50" s="159"/>
      <c r="PHT50" s="159"/>
      <c r="PHU50" s="159"/>
      <c r="PHV50" s="159"/>
      <c r="PHW50" s="159"/>
      <c r="PHX50" s="159"/>
      <c r="PHY50" s="159"/>
      <c r="PHZ50" s="159"/>
      <c r="PIA50" s="159"/>
      <c r="PIB50" s="159"/>
      <c r="PIC50" s="159"/>
      <c r="PID50" s="159"/>
      <c r="PIE50" s="159"/>
      <c r="PIF50" s="159"/>
      <c r="PIG50" s="159"/>
      <c r="PIH50" s="159"/>
      <c r="PII50" s="159"/>
      <c r="PIJ50" s="159"/>
      <c r="PIK50" s="159"/>
      <c r="PIL50" s="159"/>
      <c r="PIM50" s="159"/>
      <c r="PIN50" s="159"/>
      <c r="PIO50" s="159"/>
      <c r="PIP50" s="159"/>
      <c r="PIQ50" s="159"/>
      <c r="PIR50" s="159"/>
      <c r="PIS50" s="159"/>
      <c r="PIT50" s="159"/>
      <c r="PIU50" s="159"/>
      <c r="PIV50" s="159"/>
      <c r="PIW50" s="159"/>
      <c r="PIX50" s="159"/>
      <c r="PIY50" s="159"/>
      <c r="PIZ50" s="159"/>
      <c r="PJA50" s="159"/>
      <c r="PJB50" s="159"/>
      <c r="PJC50" s="159"/>
      <c r="PJD50" s="159"/>
      <c r="PJE50" s="159"/>
      <c r="PJF50" s="159"/>
      <c r="PJG50" s="159"/>
      <c r="PJH50" s="159"/>
      <c r="PJI50" s="159"/>
      <c r="PJJ50" s="159"/>
      <c r="PJK50" s="159"/>
      <c r="PJL50" s="159"/>
      <c r="PJM50" s="159"/>
      <c r="PJN50" s="159"/>
      <c r="PJO50" s="159"/>
      <c r="PJP50" s="159"/>
      <c r="PJQ50" s="159"/>
      <c r="PJR50" s="159"/>
      <c r="PJS50" s="159"/>
      <c r="PJT50" s="159"/>
      <c r="PJU50" s="159"/>
      <c r="PJV50" s="159"/>
      <c r="PJW50" s="159"/>
      <c r="PJX50" s="159"/>
      <c r="PJY50" s="159"/>
      <c r="PJZ50" s="159"/>
      <c r="PKA50" s="159"/>
      <c r="PKB50" s="159"/>
      <c r="PKC50" s="159"/>
      <c r="PKD50" s="159"/>
      <c r="PKE50" s="159"/>
      <c r="PKF50" s="159"/>
      <c r="PKG50" s="159"/>
      <c r="PKH50" s="159"/>
      <c r="PKI50" s="159"/>
      <c r="PKJ50" s="159"/>
      <c r="PKK50" s="159"/>
      <c r="PKL50" s="159"/>
      <c r="PKM50" s="159"/>
      <c r="PKN50" s="159"/>
      <c r="PKO50" s="159"/>
      <c r="PKP50" s="159"/>
      <c r="PKQ50" s="159"/>
      <c r="PKR50" s="159"/>
      <c r="PKS50" s="159"/>
      <c r="PKT50" s="159"/>
      <c r="PKU50" s="159"/>
      <c r="PKV50" s="159"/>
      <c r="PKW50" s="159"/>
      <c r="PKX50" s="159"/>
      <c r="PKY50" s="159"/>
      <c r="PKZ50" s="159"/>
      <c r="PLA50" s="159"/>
      <c r="PLB50" s="159"/>
      <c r="PLC50" s="159"/>
      <c r="PLD50" s="159"/>
      <c r="PLE50" s="159"/>
      <c r="PLF50" s="159"/>
      <c r="PLG50" s="159"/>
      <c r="PLH50" s="159"/>
      <c r="PLI50" s="159"/>
      <c r="PLJ50" s="159"/>
      <c r="PLK50" s="159"/>
      <c r="PLL50" s="159"/>
      <c r="PLM50" s="159"/>
      <c r="PLN50" s="159"/>
      <c r="PLO50" s="159"/>
      <c r="PLP50" s="159"/>
      <c r="PLQ50" s="159"/>
      <c r="PLR50" s="159"/>
      <c r="PLS50" s="159"/>
      <c r="PLT50" s="159"/>
      <c r="PLU50" s="159"/>
      <c r="PLV50" s="159"/>
      <c r="PLW50" s="159"/>
      <c r="PLX50" s="159"/>
      <c r="PLY50" s="159"/>
      <c r="PLZ50" s="159"/>
      <c r="PMA50" s="159"/>
      <c r="PMB50" s="159"/>
      <c r="PMC50" s="159"/>
      <c r="PMD50" s="159"/>
      <c r="PME50" s="159"/>
      <c r="PMF50" s="159"/>
      <c r="PMG50" s="159"/>
      <c r="PMH50" s="159"/>
      <c r="PMI50" s="159"/>
      <c r="PMJ50" s="159"/>
      <c r="PMK50" s="159"/>
      <c r="PML50" s="159"/>
      <c r="PMM50" s="159"/>
      <c r="PMN50" s="159"/>
      <c r="PMO50" s="159"/>
      <c r="PMP50" s="159"/>
      <c r="PMQ50" s="159"/>
      <c r="PMR50" s="159"/>
      <c r="PMS50" s="159"/>
      <c r="PMT50" s="159"/>
      <c r="PMU50" s="159"/>
      <c r="PMV50" s="159"/>
      <c r="PMW50" s="159"/>
      <c r="PMX50" s="159"/>
      <c r="PMY50" s="159"/>
      <c r="PMZ50" s="159"/>
      <c r="PNA50" s="159"/>
      <c r="PNB50" s="159"/>
      <c r="PNC50" s="159"/>
      <c r="PND50" s="159"/>
      <c r="PNE50" s="159"/>
      <c r="PNF50" s="159"/>
      <c r="PNG50" s="159"/>
      <c r="PNH50" s="159"/>
      <c r="PNI50" s="159"/>
      <c r="PNJ50" s="159"/>
      <c r="PNK50" s="159"/>
      <c r="PNL50" s="159"/>
      <c r="PNM50" s="159"/>
      <c r="PNN50" s="159"/>
      <c r="PNO50" s="159"/>
      <c r="PNP50" s="159"/>
      <c r="PNQ50" s="159"/>
      <c r="PNR50" s="159"/>
      <c r="PNS50" s="159"/>
      <c r="PNT50" s="159"/>
      <c r="PNU50" s="159"/>
      <c r="PNV50" s="159"/>
      <c r="PNW50" s="159"/>
      <c r="PNX50" s="159"/>
      <c r="PNY50" s="159"/>
      <c r="PNZ50" s="159"/>
      <c r="POA50" s="159"/>
      <c r="POB50" s="159"/>
      <c r="POC50" s="159"/>
      <c r="POD50" s="159"/>
      <c r="POE50" s="159"/>
      <c r="POF50" s="159"/>
      <c r="POG50" s="159"/>
      <c r="POH50" s="159"/>
      <c r="POI50" s="159"/>
      <c r="POJ50" s="159"/>
      <c r="POK50" s="159"/>
      <c r="POL50" s="159"/>
      <c r="POM50" s="159"/>
      <c r="PON50" s="159"/>
      <c r="POO50" s="159"/>
      <c r="POP50" s="159"/>
      <c r="POQ50" s="159"/>
      <c r="POR50" s="159"/>
      <c r="POS50" s="159"/>
      <c r="POT50" s="159"/>
      <c r="POU50" s="159"/>
      <c r="POV50" s="159"/>
      <c r="POW50" s="159"/>
      <c r="POX50" s="159"/>
      <c r="POY50" s="159"/>
      <c r="POZ50" s="159"/>
      <c r="PPA50" s="159"/>
      <c r="PPB50" s="159"/>
      <c r="PPC50" s="159"/>
      <c r="PPD50" s="159"/>
      <c r="PPE50" s="159"/>
      <c r="PPF50" s="159"/>
      <c r="PPG50" s="159"/>
      <c r="PPH50" s="159"/>
      <c r="PPI50" s="159"/>
      <c r="PPJ50" s="159"/>
      <c r="PPK50" s="159"/>
      <c r="PPL50" s="159"/>
      <c r="PPM50" s="159"/>
      <c r="PPN50" s="159"/>
      <c r="PPO50" s="159"/>
      <c r="PPP50" s="159"/>
      <c r="PPQ50" s="159"/>
      <c r="PPR50" s="159"/>
      <c r="PPS50" s="159"/>
      <c r="PPT50" s="159"/>
      <c r="PPU50" s="159"/>
      <c r="PPV50" s="159"/>
      <c r="PPW50" s="159"/>
      <c r="PPX50" s="159"/>
      <c r="PPY50" s="159"/>
      <c r="PPZ50" s="159"/>
      <c r="PQA50" s="159"/>
      <c r="PQB50" s="159"/>
      <c r="PQC50" s="159"/>
      <c r="PQD50" s="159"/>
      <c r="PQE50" s="159"/>
      <c r="PQF50" s="159"/>
      <c r="PQG50" s="159"/>
      <c r="PQH50" s="159"/>
      <c r="PQI50" s="159"/>
      <c r="PQJ50" s="159"/>
      <c r="PQK50" s="159"/>
      <c r="PQL50" s="159"/>
      <c r="PQM50" s="159"/>
      <c r="PQN50" s="159"/>
      <c r="PQO50" s="159"/>
      <c r="PQP50" s="159"/>
      <c r="PQQ50" s="159"/>
      <c r="PQR50" s="159"/>
      <c r="PQS50" s="159"/>
      <c r="PQT50" s="159"/>
      <c r="PQU50" s="159"/>
      <c r="PQV50" s="159"/>
      <c r="PQW50" s="159"/>
      <c r="PQX50" s="159"/>
      <c r="PQY50" s="159"/>
      <c r="PQZ50" s="159"/>
      <c r="PRA50" s="159"/>
      <c r="PRB50" s="159"/>
      <c r="PRC50" s="159"/>
      <c r="PRD50" s="159"/>
      <c r="PRE50" s="159"/>
      <c r="PRF50" s="159"/>
      <c r="PRG50" s="159"/>
      <c r="PRH50" s="159"/>
      <c r="PRI50" s="159"/>
      <c r="PRJ50" s="159"/>
      <c r="PRK50" s="159"/>
      <c r="PRL50" s="159"/>
      <c r="PRM50" s="159"/>
      <c r="PRN50" s="159"/>
      <c r="PRO50" s="159"/>
      <c r="PRP50" s="159"/>
      <c r="PRQ50" s="159"/>
      <c r="PRR50" s="159"/>
      <c r="PRS50" s="159"/>
      <c r="PRT50" s="159"/>
      <c r="PRU50" s="159"/>
      <c r="PRV50" s="159"/>
      <c r="PRW50" s="159"/>
      <c r="PRX50" s="159"/>
      <c r="PRY50" s="159"/>
      <c r="PRZ50" s="159"/>
      <c r="PSA50" s="159"/>
      <c r="PSB50" s="159"/>
      <c r="PSC50" s="159"/>
      <c r="PSD50" s="159"/>
      <c r="PSE50" s="159"/>
      <c r="PSF50" s="159"/>
      <c r="PSG50" s="159"/>
      <c r="PSH50" s="159"/>
      <c r="PSI50" s="159"/>
      <c r="PSJ50" s="159"/>
      <c r="PSK50" s="159"/>
      <c r="PSL50" s="159"/>
      <c r="PSM50" s="159"/>
      <c r="PSN50" s="159"/>
      <c r="PSO50" s="159"/>
      <c r="PSP50" s="159"/>
      <c r="PSQ50" s="159"/>
      <c r="PSR50" s="159"/>
      <c r="PSS50" s="159"/>
      <c r="PST50" s="159"/>
      <c r="PSU50" s="159"/>
      <c r="PSV50" s="159"/>
      <c r="PSW50" s="159"/>
      <c r="PSX50" s="159"/>
      <c r="PSY50" s="159"/>
      <c r="PSZ50" s="159"/>
      <c r="PTA50" s="159"/>
      <c r="PTB50" s="159"/>
      <c r="PTC50" s="159"/>
      <c r="PTD50" s="159"/>
      <c r="PTE50" s="159"/>
      <c r="PTF50" s="159"/>
      <c r="PTG50" s="159"/>
      <c r="PTH50" s="159"/>
      <c r="PTI50" s="159"/>
      <c r="PTJ50" s="159"/>
      <c r="PTK50" s="159"/>
      <c r="PTL50" s="159"/>
      <c r="PTM50" s="159"/>
      <c r="PTN50" s="159"/>
      <c r="PTO50" s="159"/>
      <c r="PTP50" s="159"/>
      <c r="PTQ50" s="159"/>
      <c r="PTR50" s="159"/>
      <c r="PTS50" s="159"/>
      <c r="PTT50" s="159"/>
      <c r="PTU50" s="159"/>
      <c r="PTV50" s="159"/>
      <c r="PTW50" s="159"/>
      <c r="PTX50" s="159"/>
      <c r="PTY50" s="159"/>
      <c r="PTZ50" s="159"/>
      <c r="PUA50" s="159"/>
      <c r="PUB50" s="159"/>
      <c r="PUC50" s="159"/>
      <c r="PUD50" s="159"/>
      <c r="PUE50" s="159"/>
      <c r="PUF50" s="159"/>
      <c r="PUG50" s="159"/>
      <c r="PUH50" s="159"/>
      <c r="PUI50" s="159"/>
      <c r="PUJ50" s="159"/>
      <c r="PUK50" s="159"/>
      <c r="PUL50" s="159"/>
      <c r="PUM50" s="159"/>
      <c r="PUN50" s="159"/>
      <c r="PUO50" s="159"/>
      <c r="PUP50" s="159"/>
      <c r="PUQ50" s="159"/>
      <c r="PUR50" s="159"/>
      <c r="PUS50" s="159"/>
      <c r="PUT50" s="159"/>
      <c r="PUU50" s="159"/>
      <c r="PUV50" s="159"/>
      <c r="PUW50" s="159"/>
      <c r="PUX50" s="159"/>
      <c r="PUY50" s="159"/>
      <c r="PUZ50" s="159"/>
      <c r="PVA50" s="159"/>
      <c r="PVB50" s="159"/>
      <c r="PVC50" s="159"/>
      <c r="PVD50" s="159"/>
      <c r="PVE50" s="159"/>
      <c r="PVF50" s="159"/>
      <c r="PVG50" s="159"/>
      <c r="PVH50" s="159"/>
      <c r="PVI50" s="159"/>
      <c r="PVJ50" s="159"/>
      <c r="PVK50" s="159"/>
      <c r="PVL50" s="159"/>
      <c r="PVM50" s="159"/>
      <c r="PVN50" s="159"/>
      <c r="PVO50" s="159"/>
      <c r="PVP50" s="159"/>
      <c r="PVQ50" s="159"/>
      <c r="PVR50" s="159"/>
      <c r="PVS50" s="159"/>
      <c r="PVT50" s="159"/>
      <c r="PVU50" s="159"/>
      <c r="PVV50" s="159"/>
      <c r="PVW50" s="159"/>
      <c r="PVX50" s="159"/>
      <c r="PVY50" s="159"/>
      <c r="PVZ50" s="159"/>
      <c r="PWA50" s="159"/>
      <c r="PWB50" s="159"/>
      <c r="PWC50" s="159"/>
      <c r="PWD50" s="159"/>
      <c r="PWE50" s="159"/>
      <c r="PWF50" s="159"/>
      <c r="PWG50" s="159"/>
      <c r="PWH50" s="159"/>
      <c r="PWI50" s="159"/>
      <c r="PWJ50" s="159"/>
      <c r="PWK50" s="159"/>
      <c r="PWL50" s="159"/>
      <c r="PWM50" s="159"/>
      <c r="PWN50" s="159"/>
      <c r="PWO50" s="159"/>
      <c r="PWP50" s="159"/>
      <c r="PWQ50" s="159"/>
      <c r="PWR50" s="159"/>
      <c r="PWS50" s="159"/>
      <c r="PWT50" s="159"/>
      <c r="PWU50" s="159"/>
      <c r="PWV50" s="159"/>
      <c r="PWW50" s="159"/>
      <c r="PWX50" s="159"/>
      <c r="PWY50" s="159"/>
      <c r="PWZ50" s="159"/>
      <c r="PXA50" s="159"/>
      <c r="PXB50" s="159"/>
      <c r="PXC50" s="159"/>
      <c r="PXD50" s="159"/>
      <c r="PXE50" s="159"/>
      <c r="PXF50" s="159"/>
      <c r="PXG50" s="159"/>
      <c r="PXH50" s="159"/>
      <c r="PXI50" s="159"/>
      <c r="PXJ50" s="159"/>
      <c r="PXK50" s="159"/>
      <c r="PXL50" s="159"/>
      <c r="PXM50" s="159"/>
      <c r="PXN50" s="159"/>
      <c r="PXO50" s="159"/>
      <c r="PXP50" s="159"/>
      <c r="PXQ50" s="159"/>
      <c r="PXR50" s="159"/>
      <c r="PXS50" s="159"/>
      <c r="PXT50" s="159"/>
      <c r="PXU50" s="159"/>
      <c r="PXV50" s="159"/>
      <c r="PXW50" s="159"/>
      <c r="PXX50" s="159"/>
      <c r="PXY50" s="159"/>
      <c r="PXZ50" s="159"/>
      <c r="PYA50" s="159"/>
      <c r="PYB50" s="159"/>
      <c r="PYC50" s="159"/>
      <c r="PYD50" s="159"/>
      <c r="PYE50" s="159"/>
      <c r="PYF50" s="159"/>
      <c r="PYG50" s="159"/>
      <c r="PYH50" s="159"/>
      <c r="PYI50" s="159"/>
      <c r="PYJ50" s="159"/>
      <c r="PYK50" s="159"/>
      <c r="PYL50" s="159"/>
      <c r="PYM50" s="159"/>
      <c r="PYN50" s="159"/>
      <c r="PYO50" s="159"/>
      <c r="PYP50" s="159"/>
      <c r="PYQ50" s="159"/>
      <c r="PYR50" s="159"/>
      <c r="PYS50" s="159"/>
      <c r="PYT50" s="159"/>
      <c r="PYU50" s="159"/>
      <c r="PYV50" s="159"/>
      <c r="PYW50" s="159"/>
      <c r="PYX50" s="159"/>
      <c r="PYY50" s="159"/>
      <c r="PYZ50" s="159"/>
      <c r="PZA50" s="159"/>
      <c r="PZB50" s="159"/>
      <c r="PZC50" s="159"/>
      <c r="PZD50" s="159"/>
      <c r="PZE50" s="159"/>
      <c r="PZF50" s="159"/>
      <c r="PZG50" s="159"/>
      <c r="PZH50" s="159"/>
      <c r="PZI50" s="159"/>
      <c r="PZJ50" s="159"/>
      <c r="PZK50" s="159"/>
      <c r="PZL50" s="159"/>
      <c r="PZM50" s="159"/>
      <c r="PZN50" s="159"/>
      <c r="PZO50" s="159"/>
      <c r="PZP50" s="159"/>
      <c r="PZQ50" s="159"/>
      <c r="PZR50" s="159"/>
      <c r="PZS50" s="159"/>
      <c r="PZT50" s="159"/>
      <c r="PZU50" s="159"/>
      <c r="PZV50" s="159"/>
      <c r="PZW50" s="159"/>
      <c r="PZX50" s="159"/>
      <c r="PZY50" s="159"/>
      <c r="PZZ50" s="159"/>
      <c r="QAA50" s="159"/>
      <c r="QAB50" s="159"/>
      <c r="QAC50" s="159"/>
      <c r="QAD50" s="159"/>
      <c r="QAE50" s="159"/>
      <c r="QAF50" s="159"/>
      <c r="QAG50" s="159"/>
      <c r="QAH50" s="159"/>
      <c r="QAI50" s="159"/>
      <c r="QAJ50" s="159"/>
      <c r="QAK50" s="159"/>
      <c r="QAL50" s="159"/>
      <c r="QAM50" s="159"/>
      <c r="QAN50" s="159"/>
      <c r="QAO50" s="159"/>
      <c r="QAP50" s="159"/>
      <c r="QAQ50" s="159"/>
      <c r="QAR50" s="159"/>
      <c r="QAS50" s="159"/>
      <c r="QAT50" s="159"/>
      <c r="QAU50" s="159"/>
      <c r="QAV50" s="159"/>
      <c r="QAW50" s="159"/>
      <c r="QAX50" s="159"/>
      <c r="QAY50" s="159"/>
      <c r="QAZ50" s="159"/>
      <c r="QBA50" s="159"/>
      <c r="QBB50" s="159"/>
      <c r="QBC50" s="159"/>
      <c r="QBD50" s="159"/>
      <c r="QBE50" s="159"/>
      <c r="QBF50" s="159"/>
      <c r="QBG50" s="159"/>
      <c r="QBH50" s="159"/>
      <c r="QBI50" s="159"/>
      <c r="QBJ50" s="159"/>
      <c r="QBK50" s="159"/>
      <c r="QBL50" s="159"/>
      <c r="QBM50" s="159"/>
      <c r="QBN50" s="159"/>
      <c r="QBO50" s="159"/>
      <c r="QBP50" s="159"/>
      <c r="QBQ50" s="159"/>
      <c r="QBR50" s="159"/>
      <c r="QBS50" s="159"/>
      <c r="QBT50" s="159"/>
      <c r="QBU50" s="159"/>
      <c r="QBV50" s="159"/>
      <c r="QBW50" s="159"/>
      <c r="QBX50" s="159"/>
      <c r="QBY50" s="159"/>
      <c r="QBZ50" s="159"/>
      <c r="QCA50" s="159"/>
      <c r="QCB50" s="159"/>
      <c r="QCC50" s="159"/>
      <c r="QCD50" s="159"/>
      <c r="QCE50" s="159"/>
      <c r="QCF50" s="159"/>
      <c r="QCG50" s="159"/>
      <c r="QCH50" s="159"/>
      <c r="QCI50" s="159"/>
      <c r="QCJ50" s="159"/>
      <c r="QCK50" s="159"/>
      <c r="QCL50" s="159"/>
      <c r="QCM50" s="159"/>
      <c r="QCN50" s="159"/>
      <c r="QCO50" s="159"/>
      <c r="QCP50" s="159"/>
      <c r="QCQ50" s="159"/>
      <c r="QCR50" s="159"/>
      <c r="QCS50" s="159"/>
      <c r="QCT50" s="159"/>
      <c r="QCU50" s="159"/>
      <c r="QCV50" s="159"/>
      <c r="QCW50" s="159"/>
      <c r="QCX50" s="159"/>
      <c r="QCY50" s="159"/>
      <c r="QCZ50" s="159"/>
      <c r="QDA50" s="159"/>
      <c r="QDB50" s="159"/>
      <c r="QDC50" s="159"/>
      <c r="QDD50" s="159"/>
      <c r="QDE50" s="159"/>
      <c r="QDF50" s="159"/>
      <c r="QDG50" s="159"/>
      <c r="QDH50" s="159"/>
      <c r="QDI50" s="159"/>
      <c r="QDJ50" s="159"/>
      <c r="QDK50" s="159"/>
      <c r="QDL50" s="159"/>
      <c r="QDM50" s="159"/>
      <c r="QDN50" s="159"/>
      <c r="QDO50" s="159"/>
      <c r="QDP50" s="159"/>
      <c r="QDQ50" s="159"/>
      <c r="QDR50" s="159"/>
      <c r="QDS50" s="159"/>
      <c r="QDT50" s="159"/>
      <c r="QDU50" s="159"/>
      <c r="QDV50" s="159"/>
      <c r="QDW50" s="159"/>
      <c r="QDX50" s="159"/>
      <c r="QDY50" s="159"/>
      <c r="QDZ50" s="159"/>
      <c r="QEA50" s="159"/>
      <c r="QEB50" s="159"/>
      <c r="QEC50" s="159"/>
      <c r="QED50" s="159"/>
      <c r="QEE50" s="159"/>
      <c r="QEF50" s="159"/>
      <c r="QEG50" s="159"/>
      <c r="QEH50" s="159"/>
      <c r="QEI50" s="159"/>
      <c r="QEJ50" s="159"/>
      <c r="QEK50" s="159"/>
      <c r="QEL50" s="159"/>
      <c r="QEM50" s="159"/>
      <c r="QEN50" s="159"/>
      <c r="QEO50" s="159"/>
      <c r="QEP50" s="159"/>
      <c r="QEQ50" s="159"/>
      <c r="QER50" s="159"/>
      <c r="QES50" s="159"/>
      <c r="QET50" s="159"/>
      <c r="QEU50" s="159"/>
      <c r="QEV50" s="159"/>
      <c r="QEW50" s="159"/>
      <c r="QEX50" s="159"/>
      <c r="QEY50" s="159"/>
      <c r="QEZ50" s="159"/>
      <c r="QFA50" s="159"/>
      <c r="QFB50" s="159"/>
      <c r="QFC50" s="159"/>
      <c r="QFD50" s="159"/>
      <c r="QFE50" s="159"/>
      <c r="QFF50" s="159"/>
      <c r="QFG50" s="159"/>
      <c r="QFH50" s="159"/>
      <c r="QFI50" s="159"/>
      <c r="QFJ50" s="159"/>
      <c r="QFK50" s="159"/>
      <c r="QFL50" s="159"/>
      <c r="QFM50" s="159"/>
      <c r="QFN50" s="159"/>
      <c r="QFO50" s="159"/>
      <c r="QFP50" s="159"/>
      <c r="QFQ50" s="159"/>
      <c r="QFR50" s="159"/>
      <c r="QFS50" s="159"/>
      <c r="QFT50" s="159"/>
      <c r="QFU50" s="159"/>
      <c r="QFV50" s="159"/>
      <c r="QFW50" s="159"/>
      <c r="QFX50" s="159"/>
      <c r="QFY50" s="159"/>
      <c r="QFZ50" s="159"/>
      <c r="QGA50" s="159"/>
      <c r="QGB50" s="159"/>
      <c r="QGC50" s="159"/>
      <c r="QGD50" s="159"/>
      <c r="QGE50" s="159"/>
      <c r="QGF50" s="159"/>
      <c r="QGG50" s="159"/>
      <c r="QGH50" s="159"/>
      <c r="QGI50" s="159"/>
      <c r="QGJ50" s="159"/>
      <c r="QGK50" s="159"/>
      <c r="QGL50" s="159"/>
      <c r="QGM50" s="159"/>
      <c r="QGN50" s="159"/>
      <c r="QGO50" s="159"/>
      <c r="QGP50" s="159"/>
      <c r="QGQ50" s="159"/>
      <c r="QGR50" s="159"/>
      <c r="QGS50" s="159"/>
      <c r="QGT50" s="159"/>
      <c r="QGU50" s="159"/>
      <c r="QGV50" s="159"/>
      <c r="QGW50" s="159"/>
      <c r="QGX50" s="159"/>
      <c r="QGY50" s="159"/>
      <c r="QGZ50" s="159"/>
      <c r="QHA50" s="159"/>
      <c r="QHB50" s="159"/>
      <c r="QHC50" s="159"/>
      <c r="QHD50" s="159"/>
      <c r="QHE50" s="159"/>
      <c r="QHF50" s="159"/>
      <c r="QHG50" s="159"/>
      <c r="QHH50" s="159"/>
      <c r="QHI50" s="159"/>
      <c r="QHJ50" s="159"/>
      <c r="QHK50" s="159"/>
      <c r="QHL50" s="159"/>
      <c r="QHM50" s="159"/>
      <c r="QHN50" s="159"/>
      <c r="QHO50" s="159"/>
      <c r="QHP50" s="159"/>
      <c r="QHQ50" s="159"/>
      <c r="QHR50" s="159"/>
      <c r="QHS50" s="159"/>
      <c r="QHT50" s="159"/>
      <c r="QHU50" s="159"/>
      <c r="QHV50" s="159"/>
      <c r="QHW50" s="159"/>
      <c r="QHX50" s="159"/>
      <c r="QHY50" s="159"/>
      <c r="QHZ50" s="159"/>
      <c r="QIA50" s="159"/>
      <c r="QIB50" s="159"/>
      <c r="QIC50" s="159"/>
      <c r="QID50" s="159"/>
      <c r="QIE50" s="159"/>
      <c r="QIF50" s="159"/>
      <c r="QIG50" s="159"/>
      <c r="QIH50" s="159"/>
      <c r="QII50" s="159"/>
      <c r="QIJ50" s="159"/>
      <c r="QIK50" s="159"/>
      <c r="QIL50" s="159"/>
      <c r="QIM50" s="159"/>
      <c r="QIN50" s="159"/>
      <c r="QIO50" s="159"/>
      <c r="QIP50" s="159"/>
      <c r="QIQ50" s="159"/>
      <c r="QIR50" s="159"/>
      <c r="QIS50" s="159"/>
      <c r="QIT50" s="159"/>
      <c r="QIU50" s="159"/>
      <c r="QIV50" s="159"/>
      <c r="QIW50" s="159"/>
      <c r="QIX50" s="159"/>
      <c r="QIY50" s="159"/>
      <c r="QIZ50" s="159"/>
      <c r="QJA50" s="159"/>
      <c r="QJB50" s="159"/>
      <c r="QJC50" s="159"/>
      <c r="QJD50" s="159"/>
      <c r="QJE50" s="159"/>
      <c r="QJF50" s="159"/>
      <c r="QJG50" s="159"/>
      <c r="QJH50" s="159"/>
      <c r="QJI50" s="159"/>
      <c r="QJJ50" s="159"/>
      <c r="QJK50" s="159"/>
      <c r="QJL50" s="159"/>
      <c r="QJM50" s="159"/>
      <c r="QJN50" s="159"/>
      <c r="QJO50" s="159"/>
      <c r="QJP50" s="159"/>
      <c r="QJQ50" s="159"/>
      <c r="QJR50" s="159"/>
      <c r="QJS50" s="159"/>
      <c r="QJT50" s="159"/>
      <c r="QJU50" s="159"/>
      <c r="QJV50" s="159"/>
      <c r="QJW50" s="159"/>
      <c r="QJX50" s="159"/>
      <c r="QJY50" s="159"/>
      <c r="QJZ50" s="159"/>
      <c r="QKA50" s="159"/>
      <c r="QKB50" s="159"/>
      <c r="QKC50" s="159"/>
      <c r="QKD50" s="159"/>
      <c r="QKE50" s="159"/>
      <c r="QKF50" s="159"/>
      <c r="QKG50" s="159"/>
      <c r="QKH50" s="159"/>
      <c r="QKI50" s="159"/>
      <c r="QKJ50" s="159"/>
      <c r="QKK50" s="159"/>
      <c r="QKL50" s="159"/>
      <c r="QKM50" s="159"/>
      <c r="QKN50" s="159"/>
      <c r="QKO50" s="159"/>
      <c r="QKP50" s="159"/>
      <c r="QKQ50" s="159"/>
      <c r="QKR50" s="159"/>
      <c r="QKS50" s="159"/>
      <c r="QKT50" s="159"/>
      <c r="QKU50" s="159"/>
      <c r="QKV50" s="159"/>
      <c r="QKW50" s="159"/>
      <c r="QKX50" s="159"/>
      <c r="QKY50" s="159"/>
      <c r="QKZ50" s="159"/>
      <c r="QLA50" s="159"/>
      <c r="QLB50" s="159"/>
      <c r="QLC50" s="159"/>
      <c r="QLD50" s="159"/>
      <c r="QLE50" s="159"/>
      <c r="QLF50" s="159"/>
      <c r="QLG50" s="159"/>
      <c r="QLH50" s="159"/>
      <c r="QLI50" s="159"/>
      <c r="QLJ50" s="159"/>
      <c r="QLK50" s="159"/>
      <c r="QLL50" s="159"/>
      <c r="QLM50" s="159"/>
      <c r="QLN50" s="159"/>
      <c r="QLO50" s="159"/>
      <c r="QLP50" s="159"/>
      <c r="QLQ50" s="159"/>
      <c r="QLR50" s="159"/>
      <c r="QLS50" s="159"/>
      <c r="QLT50" s="159"/>
      <c r="QLU50" s="159"/>
      <c r="QLV50" s="159"/>
      <c r="QLW50" s="159"/>
      <c r="QLX50" s="159"/>
      <c r="QLY50" s="159"/>
      <c r="QLZ50" s="159"/>
      <c r="QMA50" s="159"/>
      <c r="QMB50" s="159"/>
      <c r="QMC50" s="159"/>
      <c r="QMD50" s="159"/>
      <c r="QME50" s="159"/>
      <c r="QMF50" s="159"/>
      <c r="QMG50" s="159"/>
      <c r="QMH50" s="159"/>
      <c r="QMI50" s="159"/>
      <c r="QMJ50" s="159"/>
      <c r="QMK50" s="159"/>
      <c r="QML50" s="159"/>
      <c r="QMM50" s="159"/>
      <c r="QMN50" s="159"/>
      <c r="QMO50" s="159"/>
      <c r="QMP50" s="159"/>
      <c r="QMQ50" s="159"/>
      <c r="QMR50" s="159"/>
      <c r="QMS50" s="159"/>
      <c r="QMT50" s="159"/>
      <c r="QMU50" s="159"/>
      <c r="QMV50" s="159"/>
      <c r="QMW50" s="159"/>
      <c r="QMX50" s="159"/>
      <c r="QMY50" s="159"/>
      <c r="QMZ50" s="159"/>
      <c r="QNA50" s="159"/>
      <c r="QNB50" s="159"/>
      <c r="QNC50" s="159"/>
      <c r="QND50" s="159"/>
      <c r="QNE50" s="159"/>
      <c r="QNF50" s="159"/>
      <c r="QNG50" s="159"/>
      <c r="QNH50" s="159"/>
      <c r="QNI50" s="159"/>
      <c r="QNJ50" s="159"/>
      <c r="QNK50" s="159"/>
      <c r="QNL50" s="159"/>
      <c r="QNM50" s="159"/>
      <c r="QNN50" s="159"/>
      <c r="QNO50" s="159"/>
      <c r="QNP50" s="159"/>
      <c r="QNQ50" s="159"/>
      <c r="QNR50" s="159"/>
      <c r="QNS50" s="159"/>
      <c r="QNT50" s="159"/>
      <c r="QNU50" s="159"/>
      <c r="QNV50" s="159"/>
      <c r="QNW50" s="159"/>
      <c r="QNX50" s="159"/>
      <c r="QNY50" s="159"/>
      <c r="QNZ50" s="159"/>
      <c r="QOA50" s="159"/>
      <c r="QOB50" s="159"/>
      <c r="QOC50" s="159"/>
      <c r="QOD50" s="159"/>
      <c r="QOE50" s="159"/>
      <c r="QOF50" s="159"/>
      <c r="QOG50" s="159"/>
      <c r="QOH50" s="159"/>
      <c r="QOI50" s="159"/>
      <c r="QOJ50" s="159"/>
      <c r="QOK50" s="159"/>
      <c r="QOL50" s="159"/>
      <c r="QOM50" s="159"/>
      <c r="QON50" s="159"/>
      <c r="QOO50" s="159"/>
      <c r="QOP50" s="159"/>
      <c r="QOQ50" s="159"/>
      <c r="QOR50" s="159"/>
      <c r="QOS50" s="159"/>
      <c r="QOT50" s="159"/>
      <c r="QOU50" s="159"/>
      <c r="QOV50" s="159"/>
      <c r="QOW50" s="159"/>
      <c r="QOX50" s="159"/>
      <c r="QOY50" s="159"/>
      <c r="QOZ50" s="159"/>
      <c r="QPA50" s="159"/>
      <c r="QPB50" s="159"/>
      <c r="QPC50" s="159"/>
      <c r="QPD50" s="159"/>
      <c r="QPE50" s="159"/>
      <c r="QPF50" s="159"/>
      <c r="QPG50" s="159"/>
      <c r="QPH50" s="159"/>
      <c r="QPI50" s="159"/>
      <c r="QPJ50" s="159"/>
      <c r="QPK50" s="159"/>
      <c r="QPL50" s="159"/>
      <c r="QPM50" s="159"/>
      <c r="QPN50" s="159"/>
      <c r="QPO50" s="159"/>
      <c r="QPP50" s="159"/>
      <c r="QPQ50" s="159"/>
      <c r="QPR50" s="159"/>
      <c r="QPS50" s="159"/>
      <c r="QPT50" s="159"/>
      <c r="QPU50" s="159"/>
      <c r="QPV50" s="159"/>
      <c r="QPW50" s="159"/>
      <c r="QPX50" s="159"/>
      <c r="QPY50" s="159"/>
      <c r="QPZ50" s="159"/>
      <c r="QQA50" s="159"/>
      <c r="QQB50" s="159"/>
      <c r="QQC50" s="159"/>
      <c r="QQD50" s="159"/>
      <c r="QQE50" s="159"/>
      <c r="QQF50" s="159"/>
      <c r="QQG50" s="159"/>
      <c r="QQH50" s="159"/>
      <c r="QQI50" s="159"/>
      <c r="QQJ50" s="159"/>
      <c r="QQK50" s="159"/>
      <c r="QQL50" s="159"/>
      <c r="QQM50" s="159"/>
      <c r="QQN50" s="159"/>
      <c r="QQO50" s="159"/>
      <c r="QQP50" s="159"/>
      <c r="QQQ50" s="159"/>
      <c r="QQR50" s="159"/>
      <c r="QQS50" s="159"/>
      <c r="QQT50" s="159"/>
      <c r="QQU50" s="159"/>
      <c r="QQV50" s="159"/>
      <c r="QQW50" s="159"/>
      <c r="QQX50" s="159"/>
      <c r="QQY50" s="159"/>
      <c r="QQZ50" s="159"/>
      <c r="QRA50" s="159"/>
      <c r="QRB50" s="159"/>
      <c r="QRC50" s="159"/>
      <c r="QRD50" s="159"/>
      <c r="QRE50" s="159"/>
      <c r="QRF50" s="159"/>
      <c r="QRG50" s="159"/>
      <c r="QRH50" s="159"/>
      <c r="QRI50" s="159"/>
      <c r="QRJ50" s="159"/>
      <c r="QRK50" s="159"/>
      <c r="QRL50" s="159"/>
      <c r="QRM50" s="159"/>
      <c r="QRN50" s="159"/>
      <c r="QRO50" s="159"/>
      <c r="QRP50" s="159"/>
      <c r="QRQ50" s="159"/>
      <c r="QRR50" s="159"/>
      <c r="QRS50" s="159"/>
      <c r="QRT50" s="159"/>
      <c r="QRU50" s="159"/>
      <c r="QRV50" s="159"/>
      <c r="QRW50" s="159"/>
      <c r="QRX50" s="159"/>
      <c r="QRY50" s="159"/>
      <c r="QRZ50" s="159"/>
      <c r="QSA50" s="159"/>
      <c r="QSB50" s="159"/>
      <c r="QSC50" s="159"/>
      <c r="QSD50" s="159"/>
      <c r="QSE50" s="159"/>
      <c r="QSF50" s="159"/>
      <c r="QSG50" s="159"/>
      <c r="QSH50" s="159"/>
      <c r="QSI50" s="159"/>
      <c r="QSJ50" s="159"/>
      <c r="QSK50" s="159"/>
      <c r="QSL50" s="159"/>
      <c r="QSM50" s="159"/>
      <c r="QSN50" s="159"/>
      <c r="QSO50" s="159"/>
      <c r="QSP50" s="159"/>
      <c r="QSQ50" s="159"/>
      <c r="QSR50" s="159"/>
      <c r="QSS50" s="159"/>
      <c r="QST50" s="159"/>
      <c r="QSU50" s="159"/>
      <c r="QSV50" s="159"/>
      <c r="QSW50" s="159"/>
      <c r="QSX50" s="159"/>
      <c r="QSY50" s="159"/>
      <c r="QSZ50" s="159"/>
      <c r="QTA50" s="159"/>
      <c r="QTB50" s="159"/>
      <c r="QTC50" s="159"/>
      <c r="QTD50" s="159"/>
      <c r="QTE50" s="159"/>
      <c r="QTF50" s="159"/>
      <c r="QTG50" s="159"/>
      <c r="QTH50" s="159"/>
      <c r="QTI50" s="159"/>
      <c r="QTJ50" s="159"/>
      <c r="QTK50" s="159"/>
      <c r="QTL50" s="159"/>
      <c r="QTM50" s="159"/>
      <c r="QTN50" s="159"/>
      <c r="QTO50" s="159"/>
      <c r="QTP50" s="159"/>
      <c r="QTQ50" s="159"/>
      <c r="QTR50" s="159"/>
      <c r="QTS50" s="159"/>
      <c r="QTT50" s="159"/>
      <c r="QTU50" s="159"/>
      <c r="QTV50" s="159"/>
      <c r="QTW50" s="159"/>
      <c r="QTX50" s="159"/>
      <c r="QTY50" s="159"/>
      <c r="QTZ50" s="159"/>
      <c r="QUA50" s="159"/>
      <c r="QUB50" s="159"/>
      <c r="QUC50" s="159"/>
      <c r="QUD50" s="159"/>
      <c r="QUE50" s="159"/>
      <c r="QUF50" s="159"/>
      <c r="QUG50" s="159"/>
      <c r="QUH50" s="159"/>
      <c r="QUI50" s="159"/>
      <c r="QUJ50" s="159"/>
      <c r="QUK50" s="159"/>
      <c r="QUL50" s="159"/>
      <c r="QUM50" s="159"/>
      <c r="QUN50" s="159"/>
      <c r="QUO50" s="159"/>
      <c r="QUP50" s="159"/>
      <c r="QUQ50" s="159"/>
      <c r="QUR50" s="159"/>
      <c r="QUS50" s="159"/>
      <c r="QUT50" s="159"/>
      <c r="QUU50" s="159"/>
      <c r="QUV50" s="159"/>
      <c r="QUW50" s="159"/>
      <c r="QUX50" s="159"/>
      <c r="QUY50" s="159"/>
      <c r="QUZ50" s="159"/>
      <c r="QVA50" s="159"/>
      <c r="QVB50" s="159"/>
      <c r="QVC50" s="159"/>
      <c r="QVD50" s="159"/>
      <c r="QVE50" s="159"/>
      <c r="QVF50" s="159"/>
      <c r="QVG50" s="159"/>
      <c r="QVH50" s="159"/>
      <c r="QVI50" s="159"/>
      <c r="QVJ50" s="159"/>
      <c r="QVK50" s="159"/>
      <c r="QVL50" s="159"/>
      <c r="QVM50" s="159"/>
      <c r="QVN50" s="159"/>
      <c r="QVO50" s="159"/>
      <c r="QVP50" s="159"/>
      <c r="QVQ50" s="159"/>
      <c r="QVR50" s="159"/>
      <c r="QVS50" s="159"/>
      <c r="QVT50" s="159"/>
      <c r="QVU50" s="159"/>
      <c r="QVV50" s="159"/>
      <c r="QVW50" s="159"/>
      <c r="QVX50" s="159"/>
      <c r="QVY50" s="159"/>
      <c r="QVZ50" s="159"/>
      <c r="QWA50" s="159"/>
      <c r="QWB50" s="159"/>
      <c r="QWC50" s="159"/>
      <c r="QWD50" s="159"/>
      <c r="QWE50" s="159"/>
      <c r="QWF50" s="159"/>
      <c r="QWG50" s="159"/>
      <c r="QWH50" s="159"/>
      <c r="QWI50" s="159"/>
      <c r="QWJ50" s="159"/>
      <c r="QWK50" s="159"/>
      <c r="QWL50" s="159"/>
      <c r="QWM50" s="159"/>
      <c r="QWN50" s="159"/>
      <c r="QWO50" s="159"/>
      <c r="QWP50" s="159"/>
      <c r="QWQ50" s="159"/>
      <c r="QWR50" s="159"/>
      <c r="QWS50" s="159"/>
      <c r="QWT50" s="159"/>
      <c r="QWU50" s="159"/>
      <c r="QWV50" s="159"/>
      <c r="QWW50" s="159"/>
      <c r="QWX50" s="159"/>
      <c r="QWY50" s="159"/>
      <c r="QWZ50" s="159"/>
      <c r="QXA50" s="159"/>
      <c r="QXB50" s="159"/>
      <c r="QXC50" s="159"/>
      <c r="QXD50" s="159"/>
      <c r="QXE50" s="159"/>
      <c r="QXF50" s="159"/>
      <c r="QXG50" s="159"/>
      <c r="QXH50" s="159"/>
      <c r="QXI50" s="159"/>
      <c r="QXJ50" s="159"/>
      <c r="QXK50" s="159"/>
      <c r="QXL50" s="159"/>
      <c r="QXM50" s="159"/>
      <c r="QXN50" s="159"/>
      <c r="QXO50" s="159"/>
      <c r="QXP50" s="159"/>
      <c r="QXQ50" s="159"/>
      <c r="QXR50" s="159"/>
      <c r="QXS50" s="159"/>
      <c r="QXT50" s="159"/>
      <c r="QXU50" s="159"/>
      <c r="QXV50" s="159"/>
      <c r="QXW50" s="159"/>
      <c r="QXX50" s="159"/>
      <c r="QXY50" s="159"/>
      <c r="QXZ50" s="159"/>
      <c r="QYA50" s="159"/>
      <c r="QYB50" s="159"/>
      <c r="QYC50" s="159"/>
      <c r="QYD50" s="159"/>
      <c r="QYE50" s="159"/>
      <c r="QYF50" s="159"/>
      <c r="QYG50" s="159"/>
      <c r="QYH50" s="159"/>
      <c r="QYI50" s="159"/>
      <c r="QYJ50" s="159"/>
      <c r="QYK50" s="159"/>
      <c r="QYL50" s="159"/>
      <c r="QYM50" s="159"/>
      <c r="QYN50" s="159"/>
      <c r="QYO50" s="159"/>
      <c r="QYP50" s="159"/>
      <c r="QYQ50" s="159"/>
      <c r="QYR50" s="159"/>
      <c r="QYS50" s="159"/>
      <c r="QYT50" s="159"/>
      <c r="QYU50" s="159"/>
      <c r="QYV50" s="159"/>
      <c r="QYW50" s="159"/>
      <c r="QYX50" s="159"/>
      <c r="QYY50" s="159"/>
      <c r="QYZ50" s="159"/>
      <c r="QZA50" s="159"/>
      <c r="QZB50" s="159"/>
      <c r="QZC50" s="159"/>
      <c r="QZD50" s="159"/>
      <c r="QZE50" s="159"/>
      <c r="QZF50" s="159"/>
      <c r="QZG50" s="159"/>
      <c r="QZH50" s="159"/>
      <c r="QZI50" s="159"/>
      <c r="QZJ50" s="159"/>
      <c r="QZK50" s="159"/>
      <c r="QZL50" s="159"/>
      <c r="QZM50" s="159"/>
      <c r="QZN50" s="159"/>
      <c r="QZO50" s="159"/>
      <c r="QZP50" s="159"/>
      <c r="QZQ50" s="159"/>
      <c r="QZR50" s="159"/>
      <c r="QZS50" s="159"/>
      <c r="QZT50" s="159"/>
      <c r="QZU50" s="159"/>
      <c r="QZV50" s="159"/>
      <c r="QZW50" s="159"/>
      <c r="QZX50" s="159"/>
      <c r="QZY50" s="159"/>
      <c r="QZZ50" s="159"/>
      <c r="RAA50" s="159"/>
      <c r="RAB50" s="159"/>
      <c r="RAC50" s="159"/>
      <c r="RAD50" s="159"/>
      <c r="RAE50" s="159"/>
      <c r="RAF50" s="159"/>
      <c r="RAG50" s="159"/>
      <c r="RAH50" s="159"/>
      <c r="RAI50" s="159"/>
      <c r="RAJ50" s="159"/>
      <c r="RAK50" s="159"/>
      <c r="RAL50" s="159"/>
      <c r="RAM50" s="159"/>
      <c r="RAN50" s="159"/>
      <c r="RAO50" s="159"/>
      <c r="RAP50" s="159"/>
      <c r="RAQ50" s="159"/>
      <c r="RAR50" s="159"/>
      <c r="RAS50" s="159"/>
      <c r="RAT50" s="159"/>
      <c r="RAU50" s="159"/>
      <c r="RAV50" s="159"/>
      <c r="RAW50" s="159"/>
      <c r="RAX50" s="159"/>
      <c r="RAY50" s="159"/>
      <c r="RAZ50" s="159"/>
      <c r="RBA50" s="159"/>
      <c r="RBB50" s="159"/>
      <c r="RBC50" s="159"/>
      <c r="RBD50" s="159"/>
      <c r="RBE50" s="159"/>
      <c r="RBF50" s="159"/>
      <c r="RBG50" s="159"/>
      <c r="RBH50" s="159"/>
      <c r="RBI50" s="159"/>
      <c r="RBJ50" s="159"/>
      <c r="RBK50" s="159"/>
      <c r="RBL50" s="159"/>
      <c r="RBM50" s="159"/>
      <c r="RBN50" s="159"/>
      <c r="RBO50" s="159"/>
      <c r="RBP50" s="159"/>
      <c r="RBQ50" s="159"/>
      <c r="RBR50" s="159"/>
      <c r="RBS50" s="159"/>
      <c r="RBT50" s="159"/>
      <c r="RBU50" s="159"/>
      <c r="RBV50" s="159"/>
      <c r="RBW50" s="159"/>
      <c r="RBX50" s="159"/>
      <c r="RBY50" s="159"/>
      <c r="RBZ50" s="159"/>
      <c r="RCA50" s="159"/>
      <c r="RCB50" s="159"/>
      <c r="RCC50" s="159"/>
      <c r="RCD50" s="159"/>
      <c r="RCE50" s="159"/>
      <c r="RCF50" s="159"/>
      <c r="RCG50" s="159"/>
      <c r="RCH50" s="159"/>
      <c r="RCI50" s="159"/>
      <c r="RCJ50" s="159"/>
      <c r="RCK50" s="159"/>
      <c r="RCL50" s="159"/>
      <c r="RCM50" s="159"/>
      <c r="RCN50" s="159"/>
      <c r="RCO50" s="159"/>
      <c r="RCP50" s="159"/>
      <c r="RCQ50" s="159"/>
      <c r="RCR50" s="159"/>
      <c r="RCS50" s="159"/>
      <c r="RCT50" s="159"/>
      <c r="RCU50" s="159"/>
      <c r="RCV50" s="159"/>
      <c r="RCW50" s="159"/>
      <c r="RCX50" s="159"/>
      <c r="RCY50" s="159"/>
      <c r="RCZ50" s="159"/>
      <c r="RDA50" s="159"/>
      <c r="RDB50" s="159"/>
      <c r="RDC50" s="159"/>
      <c r="RDD50" s="159"/>
      <c r="RDE50" s="159"/>
      <c r="RDF50" s="159"/>
      <c r="RDG50" s="159"/>
      <c r="RDH50" s="159"/>
      <c r="RDI50" s="159"/>
      <c r="RDJ50" s="159"/>
      <c r="RDK50" s="159"/>
      <c r="RDL50" s="159"/>
      <c r="RDM50" s="159"/>
      <c r="RDN50" s="159"/>
      <c r="RDO50" s="159"/>
      <c r="RDP50" s="159"/>
      <c r="RDQ50" s="159"/>
      <c r="RDR50" s="159"/>
      <c r="RDS50" s="159"/>
      <c r="RDT50" s="159"/>
      <c r="RDU50" s="159"/>
      <c r="RDV50" s="159"/>
      <c r="RDW50" s="159"/>
      <c r="RDX50" s="159"/>
      <c r="RDY50" s="159"/>
      <c r="RDZ50" s="159"/>
      <c r="REA50" s="159"/>
      <c r="REB50" s="159"/>
      <c r="REC50" s="159"/>
      <c r="RED50" s="159"/>
      <c r="REE50" s="159"/>
      <c r="REF50" s="159"/>
      <c r="REG50" s="159"/>
      <c r="REH50" s="159"/>
      <c r="REI50" s="159"/>
      <c r="REJ50" s="159"/>
      <c r="REK50" s="159"/>
      <c r="REL50" s="159"/>
      <c r="REM50" s="159"/>
      <c r="REN50" s="159"/>
      <c r="REO50" s="159"/>
      <c r="REP50" s="159"/>
      <c r="REQ50" s="159"/>
      <c r="RER50" s="159"/>
      <c r="RES50" s="159"/>
      <c r="RET50" s="159"/>
      <c r="REU50" s="159"/>
      <c r="REV50" s="159"/>
      <c r="REW50" s="159"/>
      <c r="REX50" s="159"/>
      <c r="REY50" s="159"/>
      <c r="REZ50" s="159"/>
      <c r="RFA50" s="159"/>
      <c r="RFB50" s="159"/>
      <c r="RFC50" s="159"/>
      <c r="RFD50" s="159"/>
      <c r="RFE50" s="159"/>
      <c r="RFF50" s="159"/>
      <c r="RFG50" s="159"/>
      <c r="RFH50" s="159"/>
      <c r="RFI50" s="159"/>
      <c r="RFJ50" s="159"/>
      <c r="RFK50" s="159"/>
      <c r="RFL50" s="159"/>
      <c r="RFM50" s="159"/>
      <c r="RFN50" s="159"/>
      <c r="RFO50" s="159"/>
      <c r="RFP50" s="159"/>
      <c r="RFQ50" s="159"/>
      <c r="RFR50" s="159"/>
      <c r="RFS50" s="159"/>
      <c r="RFT50" s="159"/>
      <c r="RFU50" s="159"/>
      <c r="RFV50" s="159"/>
      <c r="RFW50" s="159"/>
      <c r="RFX50" s="159"/>
      <c r="RFY50" s="159"/>
      <c r="RFZ50" s="159"/>
      <c r="RGA50" s="159"/>
      <c r="RGB50" s="159"/>
      <c r="RGC50" s="159"/>
      <c r="RGD50" s="159"/>
      <c r="RGE50" s="159"/>
      <c r="RGF50" s="159"/>
      <c r="RGG50" s="159"/>
      <c r="RGH50" s="159"/>
      <c r="RGI50" s="159"/>
      <c r="RGJ50" s="159"/>
      <c r="RGK50" s="159"/>
      <c r="RGL50" s="159"/>
      <c r="RGM50" s="159"/>
      <c r="RGN50" s="159"/>
      <c r="RGO50" s="159"/>
      <c r="RGP50" s="159"/>
      <c r="RGQ50" s="159"/>
      <c r="RGR50" s="159"/>
      <c r="RGS50" s="159"/>
      <c r="RGT50" s="159"/>
      <c r="RGU50" s="159"/>
      <c r="RGV50" s="159"/>
      <c r="RGW50" s="159"/>
      <c r="RGX50" s="159"/>
      <c r="RGY50" s="159"/>
      <c r="RGZ50" s="159"/>
      <c r="RHA50" s="159"/>
      <c r="RHB50" s="159"/>
      <c r="RHC50" s="159"/>
      <c r="RHD50" s="159"/>
      <c r="RHE50" s="159"/>
      <c r="RHF50" s="159"/>
      <c r="RHG50" s="159"/>
      <c r="RHH50" s="159"/>
      <c r="RHI50" s="159"/>
      <c r="RHJ50" s="159"/>
      <c r="RHK50" s="159"/>
      <c r="RHL50" s="159"/>
      <c r="RHM50" s="159"/>
      <c r="RHN50" s="159"/>
      <c r="RHO50" s="159"/>
      <c r="RHP50" s="159"/>
      <c r="RHQ50" s="159"/>
      <c r="RHR50" s="159"/>
      <c r="RHS50" s="159"/>
      <c r="RHT50" s="159"/>
      <c r="RHU50" s="159"/>
      <c r="RHV50" s="159"/>
      <c r="RHW50" s="159"/>
      <c r="RHX50" s="159"/>
      <c r="RHY50" s="159"/>
      <c r="RHZ50" s="159"/>
      <c r="RIA50" s="159"/>
      <c r="RIB50" s="159"/>
      <c r="RIC50" s="159"/>
      <c r="RID50" s="159"/>
      <c r="RIE50" s="159"/>
      <c r="RIF50" s="159"/>
      <c r="RIG50" s="159"/>
      <c r="RIH50" s="159"/>
      <c r="RII50" s="159"/>
      <c r="RIJ50" s="159"/>
      <c r="RIK50" s="159"/>
      <c r="RIL50" s="159"/>
      <c r="RIM50" s="159"/>
      <c r="RIN50" s="159"/>
      <c r="RIO50" s="159"/>
      <c r="RIP50" s="159"/>
      <c r="RIQ50" s="159"/>
      <c r="RIR50" s="159"/>
      <c r="RIS50" s="159"/>
      <c r="RIT50" s="159"/>
      <c r="RIU50" s="159"/>
      <c r="RIV50" s="159"/>
      <c r="RIW50" s="159"/>
      <c r="RIX50" s="159"/>
      <c r="RIY50" s="159"/>
      <c r="RIZ50" s="159"/>
      <c r="RJA50" s="159"/>
      <c r="RJB50" s="159"/>
      <c r="RJC50" s="159"/>
      <c r="RJD50" s="159"/>
      <c r="RJE50" s="159"/>
      <c r="RJF50" s="159"/>
      <c r="RJG50" s="159"/>
      <c r="RJH50" s="159"/>
      <c r="RJI50" s="159"/>
      <c r="RJJ50" s="159"/>
      <c r="RJK50" s="159"/>
      <c r="RJL50" s="159"/>
      <c r="RJM50" s="159"/>
      <c r="RJN50" s="159"/>
      <c r="RJO50" s="159"/>
      <c r="RJP50" s="159"/>
      <c r="RJQ50" s="159"/>
      <c r="RJR50" s="159"/>
      <c r="RJS50" s="159"/>
      <c r="RJT50" s="159"/>
      <c r="RJU50" s="159"/>
      <c r="RJV50" s="159"/>
      <c r="RJW50" s="159"/>
      <c r="RJX50" s="159"/>
      <c r="RJY50" s="159"/>
      <c r="RJZ50" s="159"/>
      <c r="RKA50" s="159"/>
      <c r="RKB50" s="159"/>
      <c r="RKC50" s="159"/>
      <c r="RKD50" s="159"/>
      <c r="RKE50" s="159"/>
      <c r="RKF50" s="159"/>
      <c r="RKG50" s="159"/>
      <c r="RKH50" s="159"/>
      <c r="RKI50" s="159"/>
      <c r="RKJ50" s="159"/>
      <c r="RKK50" s="159"/>
      <c r="RKL50" s="159"/>
      <c r="RKM50" s="159"/>
      <c r="RKN50" s="159"/>
      <c r="RKO50" s="159"/>
      <c r="RKP50" s="159"/>
      <c r="RKQ50" s="159"/>
      <c r="RKR50" s="159"/>
      <c r="RKS50" s="159"/>
      <c r="RKT50" s="159"/>
      <c r="RKU50" s="159"/>
      <c r="RKV50" s="159"/>
      <c r="RKW50" s="159"/>
      <c r="RKX50" s="159"/>
      <c r="RKY50" s="159"/>
      <c r="RKZ50" s="159"/>
      <c r="RLA50" s="159"/>
      <c r="RLB50" s="159"/>
      <c r="RLC50" s="159"/>
      <c r="RLD50" s="159"/>
      <c r="RLE50" s="159"/>
      <c r="RLF50" s="159"/>
      <c r="RLG50" s="159"/>
      <c r="RLH50" s="159"/>
      <c r="RLI50" s="159"/>
      <c r="RLJ50" s="159"/>
      <c r="RLK50" s="159"/>
      <c r="RLL50" s="159"/>
      <c r="RLM50" s="159"/>
      <c r="RLN50" s="159"/>
      <c r="RLO50" s="159"/>
      <c r="RLP50" s="159"/>
      <c r="RLQ50" s="159"/>
      <c r="RLR50" s="159"/>
      <c r="RLS50" s="159"/>
      <c r="RLT50" s="159"/>
      <c r="RLU50" s="159"/>
      <c r="RLV50" s="159"/>
      <c r="RLW50" s="159"/>
      <c r="RLX50" s="159"/>
      <c r="RLY50" s="159"/>
      <c r="RLZ50" s="159"/>
      <c r="RMA50" s="159"/>
      <c r="RMB50" s="159"/>
      <c r="RMC50" s="159"/>
      <c r="RMD50" s="159"/>
      <c r="RME50" s="159"/>
      <c r="RMF50" s="159"/>
      <c r="RMG50" s="159"/>
      <c r="RMH50" s="159"/>
      <c r="RMI50" s="159"/>
      <c r="RMJ50" s="159"/>
      <c r="RMK50" s="159"/>
      <c r="RML50" s="159"/>
      <c r="RMM50" s="159"/>
      <c r="RMN50" s="159"/>
      <c r="RMO50" s="159"/>
      <c r="RMP50" s="159"/>
      <c r="RMQ50" s="159"/>
      <c r="RMR50" s="159"/>
      <c r="RMS50" s="159"/>
      <c r="RMT50" s="159"/>
      <c r="RMU50" s="159"/>
      <c r="RMV50" s="159"/>
      <c r="RMW50" s="159"/>
      <c r="RMX50" s="159"/>
      <c r="RMY50" s="159"/>
      <c r="RMZ50" s="159"/>
      <c r="RNA50" s="159"/>
      <c r="RNB50" s="159"/>
      <c r="RNC50" s="159"/>
      <c r="RND50" s="159"/>
      <c r="RNE50" s="159"/>
      <c r="RNF50" s="159"/>
      <c r="RNG50" s="159"/>
      <c r="RNH50" s="159"/>
      <c r="RNI50" s="159"/>
      <c r="RNJ50" s="159"/>
      <c r="RNK50" s="159"/>
      <c r="RNL50" s="159"/>
      <c r="RNM50" s="159"/>
      <c r="RNN50" s="159"/>
      <c r="RNO50" s="159"/>
      <c r="RNP50" s="159"/>
      <c r="RNQ50" s="159"/>
      <c r="RNR50" s="159"/>
      <c r="RNS50" s="159"/>
      <c r="RNT50" s="159"/>
      <c r="RNU50" s="159"/>
      <c r="RNV50" s="159"/>
      <c r="RNW50" s="159"/>
      <c r="RNX50" s="159"/>
      <c r="RNY50" s="159"/>
      <c r="RNZ50" s="159"/>
      <c r="ROA50" s="159"/>
      <c r="ROB50" s="159"/>
      <c r="ROC50" s="159"/>
      <c r="ROD50" s="159"/>
      <c r="ROE50" s="159"/>
      <c r="ROF50" s="159"/>
      <c r="ROG50" s="159"/>
      <c r="ROH50" s="159"/>
      <c r="ROI50" s="159"/>
      <c r="ROJ50" s="159"/>
      <c r="ROK50" s="159"/>
      <c r="ROL50" s="159"/>
      <c r="ROM50" s="159"/>
      <c r="RON50" s="159"/>
      <c r="ROO50" s="159"/>
      <c r="ROP50" s="159"/>
      <c r="ROQ50" s="159"/>
      <c r="ROR50" s="159"/>
      <c r="ROS50" s="159"/>
      <c r="ROT50" s="159"/>
      <c r="ROU50" s="159"/>
      <c r="ROV50" s="159"/>
      <c r="ROW50" s="159"/>
      <c r="ROX50" s="159"/>
      <c r="ROY50" s="159"/>
      <c r="ROZ50" s="159"/>
      <c r="RPA50" s="159"/>
      <c r="RPB50" s="159"/>
      <c r="RPC50" s="159"/>
      <c r="RPD50" s="159"/>
      <c r="RPE50" s="159"/>
      <c r="RPF50" s="159"/>
      <c r="RPG50" s="159"/>
      <c r="RPH50" s="159"/>
      <c r="RPI50" s="159"/>
      <c r="RPJ50" s="159"/>
      <c r="RPK50" s="159"/>
      <c r="RPL50" s="159"/>
      <c r="RPM50" s="159"/>
      <c r="RPN50" s="159"/>
      <c r="RPO50" s="159"/>
      <c r="RPP50" s="159"/>
      <c r="RPQ50" s="159"/>
      <c r="RPR50" s="159"/>
      <c r="RPS50" s="159"/>
      <c r="RPT50" s="159"/>
      <c r="RPU50" s="159"/>
      <c r="RPV50" s="159"/>
      <c r="RPW50" s="159"/>
      <c r="RPX50" s="159"/>
      <c r="RPY50" s="159"/>
      <c r="RPZ50" s="159"/>
      <c r="RQA50" s="159"/>
      <c r="RQB50" s="159"/>
      <c r="RQC50" s="159"/>
      <c r="RQD50" s="159"/>
      <c r="RQE50" s="159"/>
      <c r="RQF50" s="159"/>
      <c r="RQG50" s="159"/>
      <c r="RQH50" s="159"/>
      <c r="RQI50" s="159"/>
      <c r="RQJ50" s="159"/>
      <c r="RQK50" s="159"/>
      <c r="RQL50" s="159"/>
      <c r="RQM50" s="159"/>
      <c r="RQN50" s="159"/>
      <c r="RQO50" s="159"/>
      <c r="RQP50" s="159"/>
      <c r="RQQ50" s="159"/>
      <c r="RQR50" s="159"/>
      <c r="RQS50" s="159"/>
      <c r="RQT50" s="159"/>
      <c r="RQU50" s="159"/>
      <c r="RQV50" s="159"/>
      <c r="RQW50" s="159"/>
      <c r="RQX50" s="159"/>
      <c r="RQY50" s="159"/>
      <c r="RQZ50" s="159"/>
      <c r="RRA50" s="159"/>
      <c r="RRB50" s="159"/>
      <c r="RRC50" s="159"/>
      <c r="RRD50" s="159"/>
      <c r="RRE50" s="159"/>
      <c r="RRF50" s="159"/>
      <c r="RRG50" s="159"/>
      <c r="RRH50" s="159"/>
      <c r="RRI50" s="159"/>
      <c r="RRJ50" s="159"/>
      <c r="RRK50" s="159"/>
      <c r="RRL50" s="159"/>
      <c r="RRM50" s="159"/>
      <c r="RRN50" s="159"/>
      <c r="RRO50" s="159"/>
      <c r="RRP50" s="159"/>
      <c r="RRQ50" s="159"/>
      <c r="RRR50" s="159"/>
      <c r="RRS50" s="159"/>
      <c r="RRT50" s="159"/>
      <c r="RRU50" s="159"/>
      <c r="RRV50" s="159"/>
      <c r="RRW50" s="159"/>
      <c r="RRX50" s="159"/>
      <c r="RRY50" s="159"/>
      <c r="RRZ50" s="159"/>
      <c r="RSA50" s="159"/>
      <c r="RSB50" s="159"/>
      <c r="RSC50" s="159"/>
      <c r="RSD50" s="159"/>
      <c r="RSE50" s="159"/>
      <c r="RSF50" s="159"/>
      <c r="RSG50" s="159"/>
      <c r="RSH50" s="159"/>
      <c r="RSI50" s="159"/>
      <c r="RSJ50" s="159"/>
      <c r="RSK50" s="159"/>
      <c r="RSL50" s="159"/>
      <c r="RSM50" s="159"/>
      <c r="RSN50" s="159"/>
      <c r="RSO50" s="159"/>
      <c r="RSP50" s="159"/>
      <c r="RSQ50" s="159"/>
      <c r="RSR50" s="159"/>
      <c r="RSS50" s="159"/>
      <c r="RST50" s="159"/>
      <c r="RSU50" s="159"/>
      <c r="RSV50" s="159"/>
      <c r="RSW50" s="159"/>
      <c r="RSX50" s="159"/>
      <c r="RSY50" s="159"/>
      <c r="RSZ50" s="159"/>
      <c r="RTA50" s="159"/>
      <c r="RTB50" s="159"/>
      <c r="RTC50" s="159"/>
      <c r="RTD50" s="159"/>
      <c r="RTE50" s="159"/>
      <c r="RTF50" s="159"/>
      <c r="RTG50" s="159"/>
      <c r="RTH50" s="159"/>
      <c r="RTI50" s="159"/>
      <c r="RTJ50" s="159"/>
      <c r="RTK50" s="159"/>
      <c r="RTL50" s="159"/>
      <c r="RTM50" s="159"/>
      <c r="RTN50" s="159"/>
      <c r="RTO50" s="159"/>
      <c r="RTP50" s="159"/>
      <c r="RTQ50" s="159"/>
      <c r="RTR50" s="159"/>
      <c r="RTS50" s="159"/>
      <c r="RTT50" s="159"/>
      <c r="RTU50" s="159"/>
      <c r="RTV50" s="159"/>
      <c r="RTW50" s="159"/>
      <c r="RTX50" s="159"/>
      <c r="RTY50" s="159"/>
      <c r="RTZ50" s="159"/>
      <c r="RUA50" s="159"/>
      <c r="RUB50" s="159"/>
      <c r="RUC50" s="159"/>
      <c r="RUD50" s="159"/>
      <c r="RUE50" s="159"/>
      <c r="RUF50" s="159"/>
      <c r="RUG50" s="159"/>
      <c r="RUH50" s="159"/>
      <c r="RUI50" s="159"/>
      <c r="RUJ50" s="159"/>
      <c r="RUK50" s="159"/>
      <c r="RUL50" s="159"/>
      <c r="RUM50" s="159"/>
      <c r="RUN50" s="159"/>
      <c r="RUO50" s="159"/>
      <c r="RUP50" s="159"/>
      <c r="RUQ50" s="159"/>
      <c r="RUR50" s="159"/>
      <c r="RUS50" s="159"/>
      <c r="RUT50" s="159"/>
      <c r="RUU50" s="159"/>
      <c r="RUV50" s="159"/>
      <c r="RUW50" s="159"/>
      <c r="RUX50" s="159"/>
      <c r="RUY50" s="159"/>
      <c r="RUZ50" s="159"/>
      <c r="RVA50" s="159"/>
      <c r="RVB50" s="159"/>
      <c r="RVC50" s="159"/>
      <c r="RVD50" s="159"/>
      <c r="RVE50" s="159"/>
      <c r="RVF50" s="159"/>
      <c r="RVG50" s="159"/>
      <c r="RVH50" s="159"/>
      <c r="RVI50" s="159"/>
      <c r="RVJ50" s="159"/>
      <c r="RVK50" s="159"/>
      <c r="RVL50" s="159"/>
      <c r="RVM50" s="159"/>
      <c r="RVN50" s="159"/>
      <c r="RVO50" s="159"/>
      <c r="RVP50" s="159"/>
      <c r="RVQ50" s="159"/>
      <c r="RVR50" s="159"/>
      <c r="RVS50" s="159"/>
      <c r="RVT50" s="159"/>
      <c r="RVU50" s="159"/>
      <c r="RVV50" s="159"/>
      <c r="RVW50" s="159"/>
      <c r="RVX50" s="159"/>
      <c r="RVY50" s="159"/>
      <c r="RVZ50" s="159"/>
      <c r="RWA50" s="159"/>
      <c r="RWB50" s="159"/>
      <c r="RWC50" s="159"/>
      <c r="RWD50" s="159"/>
      <c r="RWE50" s="159"/>
      <c r="RWF50" s="159"/>
      <c r="RWG50" s="159"/>
      <c r="RWH50" s="159"/>
      <c r="RWI50" s="159"/>
      <c r="RWJ50" s="159"/>
      <c r="RWK50" s="159"/>
      <c r="RWL50" s="159"/>
      <c r="RWM50" s="159"/>
      <c r="RWN50" s="159"/>
      <c r="RWO50" s="159"/>
      <c r="RWP50" s="159"/>
      <c r="RWQ50" s="159"/>
      <c r="RWR50" s="159"/>
      <c r="RWS50" s="159"/>
      <c r="RWT50" s="159"/>
      <c r="RWU50" s="159"/>
      <c r="RWV50" s="159"/>
      <c r="RWW50" s="159"/>
      <c r="RWX50" s="159"/>
      <c r="RWY50" s="159"/>
      <c r="RWZ50" s="159"/>
      <c r="RXA50" s="159"/>
      <c r="RXB50" s="159"/>
      <c r="RXC50" s="159"/>
      <c r="RXD50" s="159"/>
      <c r="RXE50" s="159"/>
      <c r="RXF50" s="159"/>
      <c r="RXG50" s="159"/>
      <c r="RXH50" s="159"/>
      <c r="RXI50" s="159"/>
      <c r="RXJ50" s="159"/>
      <c r="RXK50" s="159"/>
      <c r="RXL50" s="159"/>
      <c r="RXM50" s="159"/>
      <c r="RXN50" s="159"/>
      <c r="RXO50" s="159"/>
      <c r="RXP50" s="159"/>
      <c r="RXQ50" s="159"/>
      <c r="RXR50" s="159"/>
      <c r="RXS50" s="159"/>
      <c r="RXT50" s="159"/>
      <c r="RXU50" s="159"/>
      <c r="RXV50" s="159"/>
      <c r="RXW50" s="159"/>
      <c r="RXX50" s="159"/>
      <c r="RXY50" s="159"/>
      <c r="RXZ50" s="159"/>
      <c r="RYA50" s="159"/>
      <c r="RYB50" s="159"/>
      <c r="RYC50" s="159"/>
      <c r="RYD50" s="159"/>
      <c r="RYE50" s="159"/>
      <c r="RYF50" s="159"/>
      <c r="RYG50" s="159"/>
      <c r="RYH50" s="159"/>
      <c r="RYI50" s="159"/>
      <c r="RYJ50" s="159"/>
      <c r="RYK50" s="159"/>
      <c r="RYL50" s="159"/>
      <c r="RYM50" s="159"/>
      <c r="RYN50" s="159"/>
      <c r="RYO50" s="159"/>
      <c r="RYP50" s="159"/>
      <c r="RYQ50" s="159"/>
      <c r="RYR50" s="159"/>
      <c r="RYS50" s="159"/>
      <c r="RYT50" s="159"/>
      <c r="RYU50" s="159"/>
      <c r="RYV50" s="159"/>
      <c r="RYW50" s="159"/>
      <c r="RYX50" s="159"/>
      <c r="RYY50" s="159"/>
      <c r="RYZ50" s="159"/>
      <c r="RZA50" s="159"/>
      <c r="RZB50" s="159"/>
      <c r="RZC50" s="159"/>
      <c r="RZD50" s="159"/>
      <c r="RZE50" s="159"/>
      <c r="RZF50" s="159"/>
      <c r="RZG50" s="159"/>
      <c r="RZH50" s="159"/>
      <c r="RZI50" s="159"/>
      <c r="RZJ50" s="159"/>
      <c r="RZK50" s="159"/>
      <c r="RZL50" s="159"/>
      <c r="RZM50" s="159"/>
      <c r="RZN50" s="159"/>
      <c r="RZO50" s="159"/>
      <c r="RZP50" s="159"/>
      <c r="RZQ50" s="159"/>
      <c r="RZR50" s="159"/>
      <c r="RZS50" s="159"/>
      <c r="RZT50" s="159"/>
      <c r="RZU50" s="159"/>
      <c r="RZV50" s="159"/>
      <c r="RZW50" s="159"/>
      <c r="RZX50" s="159"/>
      <c r="RZY50" s="159"/>
      <c r="RZZ50" s="159"/>
      <c r="SAA50" s="159"/>
      <c r="SAB50" s="159"/>
      <c r="SAC50" s="159"/>
      <c r="SAD50" s="159"/>
      <c r="SAE50" s="159"/>
      <c r="SAF50" s="159"/>
      <c r="SAG50" s="159"/>
      <c r="SAH50" s="159"/>
      <c r="SAI50" s="159"/>
      <c r="SAJ50" s="159"/>
      <c r="SAK50" s="159"/>
      <c r="SAL50" s="159"/>
      <c r="SAM50" s="159"/>
      <c r="SAN50" s="159"/>
      <c r="SAO50" s="159"/>
      <c r="SAP50" s="159"/>
      <c r="SAQ50" s="159"/>
      <c r="SAR50" s="159"/>
      <c r="SAS50" s="159"/>
      <c r="SAT50" s="159"/>
      <c r="SAU50" s="159"/>
      <c r="SAV50" s="159"/>
      <c r="SAW50" s="159"/>
      <c r="SAX50" s="159"/>
      <c r="SAY50" s="159"/>
      <c r="SAZ50" s="159"/>
      <c r="SBA50" s="159"/>
      <c r="SBB50" s="159"/>
      <c r="SBC50" s="159"/>
      <c r="SBD50" s="159"/>
      <c r="SBE50" s="159"/>
      <c r="SBF50" s="159"/>
      <c r="SBG50" s="159"/>
      <c r="SBH50" s="159"/>
      <c r="SBI50" s="159"/>
      <c r="SBJ50" s="159"/>
      <c r="SBK50" s="159"/>
      <c r="SBL50" s="159"/>
      <c r="SBM50" s="159"/>
      <c r="SBN50" s="159"/>
      <c r="SBO50" s="159"/>
      <c r="SBP50" s="159"/>
      <c r="SBQ50" s="159"/>
      <c r="SBR50" s="159"/>
      <c r="SBS50" s="159"/>
      <c r="SBT50" s="159"/>
      <c r="SBU50" s="159"/>
      <c r="SBV50" s="159"/>
      <c r="SBW50" s="159"/>
      <c r="SBX50" s="159"/>
      <c r="SBY50" s="159"/>
      <c r="SBZ50" s="159"/>
      <c r="SCA50" s="159"/>
      <c r="SCB50" s="159"/>
      <c r="SCC50" s="159"/>
      <c r="SCD50" s="159"/>
      <c r="SCE50" s="159"/>
      <c r="SCF50" s="159"/>
      <c r="SCG50" s="159"/>
      <c r="SCH50" s="159"/>
      <c r="SCI50" s="159"/>
      <c r="SCJ50" s="159"/>
      <c r="SCK50" s="159"/>
      <c r="SCL50" s="159"/>
      <c r="SCM50" s="159"/>
      <c r="SCN50" s="159"/>
      <c r="SCO50" s="159"/>
      <c r="SCP50" s="159"/>
      <c r="SCQ50" s="159"/>
      <c r="SCR50" s="159"/>
      <c r="SCS50" s="159"/>
      <c r="SCT50" s="159"/>
      <c r="SCU50" s="159"/>
      <c r="SCV50" s="159"/>
      <c r="SCW50" s="159"/>
      <c r="SCX50" s="159"/>
      <c r="SCY50" s="159"/>
      <c r="SCZ50" s="159"/>
      <c r="SDA50" s="159"/>
      <c r="SDB50" s="159"/>
      <c r="SDC50" s="159"/>
      <c r="SDD50" s="159"/>
      <c r="SDE50" s="159"/>
      <c r="SDF50" s="159"/>
      <c r="SDG50" s="159"/>
      <c r="SDH50" s="159"/>
      <c r="SDI50" s="159"/>
      <c r="SDJ50" s="159"/>
      <c r="SDK50" s="159"/>
      <c r="SDL50" s="159"/>
      <c r="SDM50" s="159"/>
      <c r="SDN50" s="159"/>
      <c r="SDO50" s="159"/>
      <c r="SDP50" s="159"/>
      <c r="SDQ50" s="159"/>
      <c r="SDR50" s="159"/>
      <c r="SDS50" s="159"/>
      <c r="SDT50" s="159"/>
      <c r="SDU50" s="159"/>
      <c r="SDV50" s="159"/>
      <c r="SDW50" s="159"/>
      <c r="SDX50" s="159"/>
      <c r="SDY50" s="159"/>
      <c r="SDZ50" s="159"/>
      <c r="SEA50" s="159"/>
      <c r="SEB50" s="159"/>
      <c r="SEC50" s="159"/>
      <c r="SED50" s="159"/>
      <c r="SEE50" s="159"/>
      <c r="SEF50" s="159"/>
      <c r="SEG50" s="159"/>
      <c r="SEH50" s="159"/>
      <c r="SEI50" s="159"/>
      <c r="SEJ50" s="159"/>
      <c r="SEK50" s="159"/>
      <c r="SEL50" s="159"/>
      <c r="SEM50" s="159"/>
      <c r="SEN50" s="159"/>
      <c r="SEO50" s="159"/>
      <c r="SEP50" s="159"/>
      <c r="SEQ50" s="159"/>
      <c r="SER50" s="159"/>
      <c r="SES50" s="159"/>
      <c r="SET50" s="159"/>
      <c r="SEU50" s="159"/>
      <c r="SEV50" s="159"/>
      <c r="SEW50" s="159"/>
      <c r="SEX50" s="159"/>
      <c r="SEY50" s="159"/>
      <c r="SEZ50" s="159"/>
      <c r="SFA50" s="159"/>
      <c r="SFB50" s="159"/>
      <c r="SFC50" s="159"/>
      <c r="SFD50" s="159"/>
      <c r="SFE50" s="159"/>
      <c r="SFF50" s="159"/>
      <c r="SFG50" s="159"/>
      <c r="SFH50" s="159"/>
      <c r="SFI50" s="159"/>
      <c r="SFJ50" s="159"/>
      <c r="SFK50" s="159"/>
      <c r="SFL50" s="159"/>
      <c r="SFM50" s="159"/>
      <c r="SFN50" s="159"/>
      <c r="SFO50" s="159"/>
      <c r="SFP50" s="159"/>
      <c r="SFQ50" s="159"/>
      <c r="SFR50" s="159"/>
      <c r="SFS50" s="159"/>
      <c r="SFT50" s="159"/>
      <c r="SFU50" s="159"/>
      <c r="SFV50" s="159"/>
      <c r="SFW50" s="159"/>
      <c r="SFX50" s="159"/>
      <c r="SFY50" s="159"/>
      <c r="SFZ50" s="159"/>
      <c r="SGA50" s="159"/>
      <c r="SGB50" s="159"/>
      <c r="SGC50" s="159"/>
      <c r="SGD50" s="159"/>
      <c r="SGE50" s="159"/>
      <c r="SGF50" s="159"/>
      <c r="SGG50" s="159"/>
      <c r="SGH50" s="159"/>
      <c r="SGI50" s="159"/>
      <c r="SGJ50" s="159"/>
      <c r="SGK50" s="159"/>
      <c r="SGL50" s="159"/>
      <c r="SGM50" s="159"/>
      <c r="SGN50" s="159"/>
      <c r="SGO50" s="159"/>
      <c r="SGP50" s="159"/>
      <c r="SGQ50" s="159"/>
      <c r="SGR50" s="159"/>
      <c r="SGS50" s="159"/>
      <c r="SGT50" s="159"/>
      <c r="SGU50" s="159"/>
      <c r="SGV50" s="159"/>
      <c r="SGW50" s="159"/>
      <c r="SGX50" s="159"/>
      <c r="SGY50" s="159"/>
      <c r="SGZ50" s="159"/>
      <c r="SHA50" s="159"/>
      <c r="SHB50" s="159"/>
      <c r="SHC50" s="159"/>
      <c r="SHD50" s="159"/>
      <c r="SHE50" s="159"/>
      <c r="SHF50" s="159"/>
      <c r="SHG50" s="159"/>
      <c r="SHH50" s="159"/>
      <c r="SHI50" s="159"/>
      <c r="SHJ50" s="159"/>
      <c r="SHK50" s="159"/>
      <c r="SHL50" s="159"/>
      <c r="SHM50" s="159"/>
      <c r="SHN50" s="159"/>
      <c r="SHO50" s="159"/>
      <c r="SHP50" s="159"/>
      <c r="SHQ50" s="159"/>
      <c r="SHR50" s="159"/>
      <c r="SHS50" s="159"/>
      <c r="SHT50" s="159"/>
      <c r="SHU50" s="159"/>
      <c r="SHV50" s="159"/>
      <c r="SHW50" s="159"/>
      <c r="SHX50" s="159"/>
      <c r="SHY50" s="159"/>
      <c r="SHZ50" s="159"/>
      <c r="SIA50" s="159"/>
      <c r="SIB50" s="159"/>
      <c r="SIC50" s="159"/>
      <c r="SID50" s="159"/>
      <c r="SIE50" s="159"/>
      <c r="SIF50" s="159"/>
      <c r="SIG50" s="159"/>
      <c r="SIH50" s="159"/>
      <c r="SII50" s="159"/>
      <c r="SIJ50" s="159"/>
      <c r="SIK50" s="159"/>
      <c r="SIL50" s="159"/>
      <c r="SIM50" s="159"/>
      <c r="SIN50" s="159"/>
      <c r="SIO50" s="159"/>
      <c r="SIP50" s="159"/>
      <c r="SIQ50" s="159"/>
      <c r="SIR50" s="159"/>
      <c r="SIS50" s="159"/>
      <c r="SIT50" s="159"/>
      <c r="SIU50" s="159"/>
      <c r="SIV50" s="159"/>
      <c r="SIW50" s="159"/>
      <c r="SIX50" s="159"/>
      <c r="SIY50" s="159"/>
      <c r="SIZ50" s="159"/>
      <c r="SJA50" s="159"/>
      <c r="SJB50" s="159"/>
      <c r="SJC50" s="159"/>
      <c r="SJD50" s="159"/>
      <c r="SJE50" s="159"/>
      <c r="SJF50" s="159"/>
      <c r="SJG50" s="159"/>
      <c r="SJH50" s="159"/>
      <c r="SJI50" s="159"/>
      <c r="SJJ50" s="159"/>
      <c r="SJK50" s="159"/>
      <c r="SJL50" s="159"/>
      <c r="SJM50" s="159"/>
      <c r="SJN50" s="159"/>
      <c r="SJO50" s="159"/>
      <c r="SJP50" s="159"/>
      <c r="SJQ50" s="159"/>
      <c r="SJR50" s="159"/>
      <c r="SJS50" s="159"/>
      <c r="SJT50" s="159"/>
      <c r="SJU50" s="159"/>
      <c r="SJV50" s="159"/>
      <c r="SJW50" s="159"/>
      <c r="SJX50" s="159"/>
      <c r="SJY50" s="159"/>
      <c r="SJZ50" s="159"/>
      <c r="SKA50" s="159"/>
      <c r="SKB50" s="159"/>
      <c r="SKC50" s="159"/>
      <c r="SKD50" s="159"/>
      <c r="SKE50" s="159"/>
      <c r="SKF50" s="159"/>
      <c r="SKG50" s="159"/>
      <c r="SKH50" s="159"/>
      <c r="SKI50" s="159"/>
      <c r="SKJ50" s="159"/>
      <c r="SKK50" s="159"/>
      <c r="SKL50" s="159"/>
      <c r="SKM50" s="159"/>
      <c r="SKN50" s="159"/>
      <c r="SKO50" s="159"/>
      <c r="SKP50" s="159"/>
      <c r="SKQ50" s="159"/>
      <c r="SKR50" s="159"/>
      <c r="SKS50" s="159"/>
      <c r="SKT50" s="159"/>
      <c r="SKU50" s="159"/>
      <c r="SKV50" s="159"/>
      <c r="SKW50" s="159"/>
      <c r="SKX50" s="159"/>
      <c r="SKY50" s="159"/>
      <c r="SKZ50" s="159"/>
      <c r="SLA50" s="159"/>
      <c r="SLB50" s="159"/>
      <c r="SLC50" s="159"/>
      <c r="SLD50" s="159"/>
      <c r="SLE50" s="159"/>
      <c r="SLF50" s="159"/>
      <c r="SLG50" s="159"/>
      <c r="SLH50" s="159"/>
      <c r="SLI50" s="159"/>
      <c r="SLJ50" s="159"/>
      <c r="SLK50" s="159"/>
      <c r="SLL50" s="159"/>
      <c r="SLM50" s="159"/>
      <c r="SLN50" s="159"/>
      <c r="SLO50" s="159"/>
      <c r="SLP50" s="159"/>
      <c r="SLQ50" s="159"/>
      <c r="SLR50" s="159"/>
      <c r="SLS50" s="159"/>
      <c r="SLT50" s="159"/>
      <c r="SLU50" s="159"/>
      <c r="SLV50" s="159"/>
      <c r="SLW50" s="159"/>
      <c r="SLX50" s="159"/>
      <c r="SLY50" s="159"/>
      <c r="SLZ50" s="159"/>
      <c r="SMA50" s="159"/>
      <c r="SMB50" s="159"/>
      <c r="SMC50" s="159"/>
      <c r="SMD50" s="159"/>
      <c r="SME50" s="159"/>
      <c r="SMF50" s="159"/>
      <c r="SMG50" s="159"/>
      <c r="SMH50" s="159"/>
      <c r="SMI50" s="159"/>
      <c r="SMJ50" s="159"/>
      <c r="SMK50" s="159"/>
      <c r="SML50" s="159"/>
      <c r="SMM50" s="159"/>
      <c r="SMN50" s="159"/>
      <c r="SMO50" s="159"/>
      <c r="SMP50" s="159"/>
      <c r="SMQ50" s="159"/>
      <c r="SMR50" s="159"/>
      <c r="SMS50" s="159"/>
      <c r="SMT50" s="159"/>
      <c r="SMU50" s="159"/>
      <c r="SMV50" s="159"/>
      <c r="SMW50" s="159"/>
      <c r="SMX50" s="159"/>
      <c r="SMY50" s="159"/>
      <c r="SMZ50" s="159"/>
      <c r="SNA50" s="159"/>
      <c r="SNB50" s="159"/>
      <c r="SNC50" s="159"/>
      <c r="SND50" s="159"/>
      <c r="SNE50" s="159"/>
      <c r="SNF50" s="159"/>
      <c r="SNG50" s="159"/>
      <c r="SNH50" s="159"/>
      <c r="SNI50" s="159"/>
      <c r="SNJ50" s="159"/>
      <c r="SNK50" s="159"/>
      <c r="SNL50" s="159"/>
      <c r="SNM50" s="159"/>
      <c r="SNN50" s="159"/>
      <c r="SNO50" s="159"/>
      <c r="SNP50" s="159"/>
      <c r="SNQ50" s="159"/>
      <c r="SNR50" s="159"/>
      <c r="SNS50" s="159"/>
      <c r="SNT50" s="159"/>
      <c r="SNU50" s="159"/>
      <c r="SNV50" s="159"/>
      <c r="SNW50" s="159"/>
      <c r="SNX50" s="159"/>
      <c r="SNY50" s="159"/>
      <c r="SNZ50" s="159"/>
      <c r="SOA50" s="159"/>
      <c r="SOB50" s="159"/>
      <c r="SOC50" s="159"/>
      <c r="SOD50" s="159"/>
      <c r="SOE50" s="159"/>
      <c r="SOF50" s="159"/>
      <c r="SOG50" s="159"/>
      <c r="SOH50" s="159"/>
      <c r="SOI50" s="159"/>
      <c r="SOJ50" s="159"/>
      <c r="SOK50" s="159"/>
      <c r="SOL50" s="159"/>
      <c r="SOM50" s="159"/>
      <c r="SON50" s="159"/>
      <c r="SOO50" s="159"/>
      <c r="SOP50" s="159"/>
      <c r="SOQ50" s="159"/>
      <c r="SOR50" s="159"/>
      <c r="SOS50" s="159"/>
      <c r="SOT50" s="159"/>
      <c r="SOU50" s="159"/>
      <c r="SOV50" s="159"/>
      <c r="SOW50" s="159"/>
      <c r="SOX50" s="159"/>
      <c r="SOY50" s="159"/>
      <c r="SOZ50" s="159"/>
      <c r="SPA50" s="159"/>
      <c r="SPB50" s="159"/>
      <c r="SPC50" s="159"/>
      <c r="SPD50" s="159"/>
      <c r="SPE50" s="159"/>
      <c r="SPF50" s="159"/>
      <c r="SPG50" s="159"/>
      <c r="SPH50" s="159"/>
      <c r="SPI50" s="159"/>
      <c r="SPJ50" s="159"/>
      <c r="SPK50" s="159"/>
      <c r="SPL50" s="159"/>
      <c r="SPM50" s="159"/>
      <c r="SPN50" s="159"/>
      <c r="SPO50" s="159"/>
      <c r="SPP50" s="159"/>
      <c r="SPQ50" s="159"/>
      <c r="SPR50" s="159"/>
      <c r="SPS50" s="159"/>
      <c r="SPT50" s="159"/>
      <c r="SPU50" s="159"/>
      <c r="SPV50" s="159"/>
      <c r="SPW50" s="159"/>
      <c r="SPX50" s="159"/>
      <c r="SPY50" s="159"/>
      <c r="SPZ50" s="159"/>
      <c r="SQA50" s="159"/>
      <c r="SQB50" s="159"/>
      <c r="SQC50" s="159"/>
      <c r="SQD50" s="159"/>
      <c r="SQE50" s="159"/>
      <c r="SQF50" s="159"/>
      <c r="SQG50" s="159"/>
      <c r="SQH50" s="159"/>
      <c r="SQI50" s="159"/>
      <c r="SQJ50" s="159"/>
      <c r="SQK50" s="159"/>
      <c r="SQL50" s="159"/>
      <c r="SQM50" s="159"/>
      <c r="SQN50" s="159"/>
      <c r="SQO50" s="159"/>
      <c r="SQP50" s="159"/>
      <c r="SQQ50" s="159"/>
      <c r="SQR50" s="159"/>
      <c r="SQS50" s="159"/>
      <c r="SQT50" s="159"/>
      <c r="SQU50" s="159"/>
      <c r="SQV50" s="159"/>
      <c r="SQW50" s="159"/>
      <c r="SQX50" s="159"/>
      <c r="SQY50" s="159"/>
      <c r="SQZ50" s="159"/>
      <c r="SRA50" s="159"/>
      <c r="SRB50" s="159"/>
      <c r="SRC50" s="159"/>
      <c r="SRD50" s="159"/>
      <c r="SRE50" s="159"/>
      <c r="SRF50" s="159"/>
      <c r="SRG50" s="159"/>
      <c r="SRH50" s="159"/>
      <c r="SRI50" s="159"/>
      <c r="SRJ50" s="159"/>
      <c r="SRK50" s="159"/>
      <c r="SRL50" s="159"/>
      <c r="SRM50" s="159"/>
      <c r="SRN50" s="159"/>
      <c r="SRO50" s="159"/>
      <c r="SRP50" s="159"/>
      <c r="SRQ50" s="159"/>
      <c r="SRR50" s="159"/>
      <c r="SRS50" s="159"/>
      <c r="SRT50" s="159"/>
      <c r="SRU50" s="159"/>
      <c r="SRV50" s="159"/>
      <c r="SRW50" s="159"/>
      <c r="SRX50" s="159"/>
      <c r="SRY50" s="159"/>
      <c r="SRZ50" s="159"/>
      <c r="SSA50" s="159"/>
      <c r="SSB50" s="159"/>
      <c r="SSC50" s="159"/>
      <c r="SSD50" s="159"/>
      <c r="SSE50" s="159"/>
      <c r="SSF50" s="159"/>
      <c r="SSG50" s="159"/>
      <c r="SSH50" s="159"/>
      <c r="SSI50" s="159"/>
      <c r="SSJ50" s="159"/>
      <c r="SSK50" s="159"/>
      <c r="SSL50" s="159"/>
      <c r="SSM50" s="159"/>
      <c r="SSN50" s="159"/>
      <c r="SSO50" s="159"/>
      <c r="SSP50" s="159"/>
      <c r="SSQ50" s="159"/>
      <c r="SSR50" s="159"/>
      <c r="SSS50" s="159"/>
      <c r="SST50" s="159"/>
      <c r="SSU50" s="159"/>
      <c r="SSV50" s="159"/>
      <c r="SSW50" s="159"/>
      <c r="SSX50" s="159"/>
      <c r="SSY50" s="159"/>
      <c r="SSZ50" s="159"/>
      <c r="STA50" s="159"/>
      <c r="STB50" s="159"/>
      <c r="STC50" s="159"/>
      <c r="STD50" s="159"/>
      <c r="STE50" s="159"/>
      <c r="STF50" s="159"/>
      <c r="STG50" s="159"/>
      <c r="STH50" s="159"/>
      <c r="STI50" s="159"/>
      <c r="STJ50" s="159"/>
      <c r="STK50" s="159"/>
      <c r="STL50" s="159"/>
      <c r="STM50" s="159"/>
      <c r="STN50" s="159"/>
      <c r="STO50" s="159"/>
      <c r="STP50" s="159"/>
      <c r="STQ50" s="159"/>
      <c r="STR50" s="159"/>
      <c r="STS50" s="159"/>
      <c r="STT50" s="159"/>
      <c r="STU50" s="159"/>
      <c r="STV50" s="159"/>
      <c r="STW50" s="159"/>
      <c r="STX50" s="159"/>
      <c r="STY50" s="159"/>
      <c r="STZ50" s="159"/>
      <c r="SUA50" s="159"/>
      <c r="SUB50" s="159"/>
      <c r="SUC50" s="159"/>
      <c r="SUD50" s="159"/>
      <c r="SUE50" s="159"/>
      <c r="SUF50" s="159"/>
      <c r="SUG50" s="159"/>
      <c r="SUH50" s="159"/>
      <c r="SUI50" s="159"/>
      <c r="SUJ50" s="159"/>
      <c r="SUK50" s="159"/>
      <c r="SUL50" s="159"/>
      <c r="SUM50" s="159"/>
      <c r="SUN50" s="159"/>
      <c r="SUO50" s="159"/>
      <c r="SUP50" s="159"/>
      <c r="SUQ50" s="159"/>
      <c r="SUR50" s="159"/>
      <c r="SUS50" s="159"/>
      <c r="SUT50" s="159"/>
      <c r="SUU50" s="159"/>
      <c r="SUV50" s="159"/>
      <c r="SUW50" s="159"/>
      <c r="SUX50" s="159"/>
      <c r="SUY50" s="159"/>
      <c r="SUZ50" s="159"/>
      <c r="SVA50" s="159"/>
      <c r="SVB50" s="159"/>
      <c r="SVC50" s="159"/>
      <c r="SVD50" s="159"/>
      <c r="SVE50" s="159"/>
      <c r="SVF50" s="159"/>
      <c r="SVG50" s="159"/>
      <c r="SVH50" s="159"/>
      <c r="SVI50" s="159"/>
      <c r="SVJ50" s="159"/>
      <c r="SVK50" s="159"/>
      <c r="SVL50" s="159"/>
      <c r="SVM50" s="159"/>
      <c r="SVN50" s="159"/>
      <c r="SVO50" s="159"/>
      <c r="SVP50" s="159"/>
      <c r="SVQ50" s="159"/>
      <c r="SVR50" s="159"/>
      <c r="SVS50" s="159"/>
      <c r="SVT50" s="159"/>
      <c r="SVU50" s="159"/>
      <c r="SVV50" s="159"/>
      <c r="SVW50" s="159"/>
      <c r="SVX50" s="159"/>
      <c r="SVY50" s="159"/>
      <c r="SVZ50" s="159"/>
      <c r="SWA50" s="159"/>
      <c r="SWB50" s="159"/>
      <c r="SWC50" s="159"/>
      <c r="SWD50" s="159"/>
      <c r="SWE50" s="159"/>
      <c r="SWF50" s="159"/>
      <c r="SWG50" s="159"/>
      <c r="SWH50" s="159"/>
      <c r="SWI50" s="159"/>
      <c r="SWJ50" s="159"/>
      <c r="SWK50" s="159"/>
      <c r="SWL50" s="159"/>
      <c r="SWM50" s="159"/>
      <c r="SWN50" s="159"/>
      <c r="SWO50" s="159"/>
      <c r="SWP50" s="159"/>
      <c r="SWQ50" s="159"/>
      <c r="SWR50" s="159"/>
      <c r="SWS50" s="159"/>
      <c r="SWT50" s="159"/>
      <c r="SWU50" s="159"/>
      <c r="SWV50" s="159"/>
      <c r="SWW50" s="159"/>
      <c r="SWX50" s="159"/>
      <c r="SWY50" s="159"/>
      <c r="SWZ50" s="159"/>
      <c r="SXA50" s="159"/>
      <c r="SXB50" s="159"/>
      <c r="SXC50" s="159"/>
      <c r="SXD50" s="159"/>
      <c r="SXE50" s="159"/>
      <c r="SXF50" s="159"/>
      <c r="SXG50" s="159"/>
      <c r="SXH50" s="159"/>
      <c r="SXI50" s="159"/>
      <c r="SXJ50" s="159"/>
      <c r="SXK50" s="159"/>
      <c r="SXL50" s="159"/>
      <c r="SXM50" s="159"/>
      <c r="SXN50" s="159"/>
      <c r="SXO50" s="159"/>
      <c r="SXP50" s="159"/>
      <c r="SXQ50" s="159"/>
      <c r="SXR50" s="159"/>
      <c r="SXS50" s="159"/>
      <c r="SXT50" s="159"/>
      <c r="SXU50" s="159"/>
      <c r="SXV50" s="159"/>
      <c r="SXW50" s="159"/>
      <c r="SXX50" s="159"/>
      <c r="SXY50" s="159"/>
      <c r="SXZ50" s="159"/>
      <c r="SYA50" s="159"/>
      <c r="SYB50" s="159"/>
      <c r="SYC50" s="159"/>
      <c r="SYD50" s="159"/>
      <c r="SYE50" s="159"/>
      <c r="SYF50" s="159"/>
      <c r="SYG50" s="159"/>
      <c r="SYH50" s="159"/>
      <c r="SYI50" s="159"/>
      <c r="SYJ50" s="159"/>
      <c r="SYK50" s="159"/>
      <c r="SYL50" s="159"/>
      <c r="SYM50" s="159"/>
      <c r="SYN50" s="159"/>
      <c r="SYO50" s="159"/>
      <c r="SYP50" s="159"/>
      <c r="SYQ50" s="159"/>
      <c r="SYR50" s="159"/>
      <c r="SYS50" s="159"/>
      <c r="SYT50" s="159"/>
      <c r="SYU50" s="159"/>
      <c r="SYV50" s="159"/>
      <c r="SYW50" s="159"/>
      <c r="SYX50" s="159"/>
      <c r="SYY50" s="159"/>
      <c r="SYZ50" s="159"/>
      <c r="SZA50" s="159"/>
      <c r="SZB50" s="159"/>
      <c r="SZC50" s="159"/>
      <c r="SZD50" s="159"/>
      <c r="SZE50" s="159"/>
      <c r="SZF50" s="159"/>
      <c r="SZG50" s="159"/>
      <c r="SZH50" s="159"/>
      <c r="SZI50" s="159"/>
      <c r="SZJ50" s="159"/>
      <c r="SZK50" s="159"/>
      <c r="SZL50" s="159"/>
      <c r="SZM50" s="159"/>
      <c r="SZN50" s="159"/>
      <c r="SZO50" s="159"/>
      <c r="SZP50" s="159"/>
      <c r="SZQ50" s="159"/>
      <c r="SZR50" s="159"/>
      <c r="SZS50" s="159"/>
      <c r="SZT50" s="159"/>
      <c r="SZU50" s="159"/>
      <c r="SZV50" s="159"/>
      <c r="SZW50" s="159"/>
      <c r="SZX50" s="159"/>
      <c r="SZY50" s="159"/>
      <c r="SZZ50" s="159"/>
      <c r="TAA50" s="159"/>
      <c r="TAB50" s="159"/>
      <c r="TAC50" s="159"/>
      <c r="TAD50" s="159"/>
      <c r="TAE50" s="159"/>
      <c r="TAF50" s="159"/>
      <c r="TAG50" s="159"/>
      <c r="TAH50" s="159"/>
      <c r="TAI50" s="159"/>
      <c r="TAJ50" s="159"/>
      <c r="TAK50" s="159"/>
      <c r="TAL50" s="159"/>
      <c r="TAM50" s="159"/>
      <c r="TAN50" s="159"/>
      <c r="TAO50" s="159"/>
      <c r="TAP50" s="159"/>
      <c r="TAQ50" s="159"/>
      <c r="TAR50" s="159"/>
      <c r="TAS50" s="159"/>
      <c r="TAT50" s="159"/>
      <c r="TAU50" s="159"/>
      <c r="TAV50" s="159"/>
      <c r="TAW50" s="159"/>
      <c r="TAX50" s="159"/>
      <c r="TAY50" s="159"/>
      <c r="TAZ50" s="159"/>
      <c r="TBA50" s="159"/>
      <c r="TBB50" s="159"/>
      <c r="TBC50" s="159"/>
      <c r="TBD50" s="159"/>
      <c r="TBE50" s="159"/>
      <c r="TBF50" s="159"/>
      <c r="TBG50" s="159"/>
      <c r="TBH50" s="159"/>
      <c r="TBI50" s="159"/>
      <c r="TBJ50" s="159"/>
      <c r="TBK50" s="159"/>
      <c r="TBL50" s="159"/>
      <c r="TBM50" s="159"/>
      <c r="TBN50" s="159"/>
      <c r="TBO50" s="159"/>
      <c r="TBP50" s="159"/>
      <c r="TBQ50" s="159"/>
      <c r="TBR50" s="159"/>
      <c r="TBS50" s="159"/>
      <c r="TBT50" s="159"/>
      <c r="TBU50" s="159"/>
      <c r="TBV50" s="159"/>
      <c r="TBW50" s="159"/>
      <c r="TBX50" s="159"/>
      <c r="TBY50" s="159"/>
      <c r="TBZ50" s="159"/>
      <c r="TCA50" s="159"/>
      <c r="TCB50" s="159"/>
      <c r="TCC50" s="159"/>
      <c r="TCD50" s="159"/>
      <c r="TCE50" s="159"/>
      <c r="TCF50" s="159"/>
      <c r="TCG50" s="159"/>
      <c r="TCH50" s="159"/>
      <c r="TCI50" s="159"/>
      <c r="TCJ50" s="159"/>
      <c r="TCK50" s="159"/>
      <c r="TCL50" s="159"/>
      <c r="TCM50" s="159"/>
      <c r="TCN50" s="159"/>
      <c r="TCO50" s="159"/>
      <c r="TCP50" s="159"/>
      <c r="TCQ50" s="159"/>
      <c r="TCR50" s="159"/>
      <c r="TCS50" s="159"/>
      <c r="TCT50" s="159"/>
      <c r="TCU50" s="159"/>
      <c r="TCV50" s="159"/>
      <c r="TCW50" s="159"/>
      <c r="TCX50" s="159"/>
      <c r="TCY50" s="159"/>
      <c r="TCZ50" s="159"/>
      <c r="TDA50" s="159"/>
      <c r="TDB50" s="159"/>
      <c r="TDC50" s="159"/>
      <c r="TDD50" s="159"/>
      <c r="TDE50" s="159"/>
      <c r="TDF50" s="159"/>
      <c r="TDG50" s="159"/>
      <c r="TDH50" s="159"/>
      <c r="TDI50" s="159"/>
      <c r="TDJ50" s="159"/>
      <c r="TDK50" s="159"/>
      <c r="TDL50" s="159"/>
      <c r="TDM50" s="159"/>
      <c r="TDN50" s="159"/>
      <c r="TDO50" s="159"/>
      <c r="TDP50" s="159"/>
      <c r="TDQ50" s="159"/>
      <c r="TDR50" s="159"/>
      <c r="TDS50" s="159"/>
      <c r="TDT50" s="159"/>
      <c r="TDU50" s="159"/>
      <c r="TDV50" s="159"/>
      <c r="TDW50" s="159"/>
      <c r="TDX50" s="159"/>
      <c r="TDY50" s="159"/>
      <c r="TDZ50" s="159"/>
      <c r="TEA50" s="159"/>
      <c r="TEB50" s="159"/>
      <c r="TEC50" s="159"/>
      <c r="TED50" s="159"/>
      <c r="TEE50" s="159"/>
      <c r="TEF50" s="159"/>
      <c r="TEG50" s="159"/>
      <c r="TEH50" s="159"/>
      <c r="TEI50" s="159"/>
      <c r="TEJ50" s="159"/>
      <c r="TEK50" s="159"/>
      <c r="TEL50" s="159"/>
      <c r="TEM50" s="159"/>
      <c r="TEN50" s="159"/>
      <c r="TEO50" s="159"/>
      <c r="TEP50" s="159"/>
      <c r="TEQ50" s="159"/>
      <c r="TER50" s="159"/>
      <c r="TES50" s="159"/>
      <c r="TET50" s="159"/>
      <c r="TEU50" s="159"/>
      <c r="TEV50" s="159"/>
      <c r="TEW50" s="159"/>
      <c r="TEX50" s="159"/>
      <c r="TEY50" s="159"/>
      <c r="TEZ50" s="159"/>
      <c r="TFA50" s="159"/>
      <c r="TFB50" s="159"/>
      <c r="TFC50" s="159"/>
      <c r="TFD50" s="159"/>
      <c r="TFE50" s="159"/>
      <c r="TFF50" s="159"/>
      <c r="TFG50" s="159"/>
      <c r="TFH50" s="159"/>
      <c r="TFI50" s="159"/>
      <c r="TFJ50" s="159"/>
      <c r="TFK50" s="159"/>
      <c r="TFL50" s="159"/>
      <c r="TFM50" s="159"/>
      <c r="TFN50" s="159"/>
      <c r="TFO50" s="159"/>
      <c r="TFP50" s="159"/>
      <c r="TFQ50" s="159"/>
      <c r="TFR50" s="159"/>
      <c r="TFS50" s="159"/>
      <c r="TFT50" s="159"/>
      <c r="TFU50" s="159"/>
      <c r="TFV50" s="159"/>
      <c r="TFW50" s="159"/>
      <c r="TFX50" s="159"/>
      <c r="TFY50" s="159"/>
      <c r="TFZ50" s="159"/>
      <c r="TGA50" s="159"/>
      <c r="TGB50" s="159"/>
      <c r="TGC50" s="159"/>
      <c r="TGD50" s="159"/>
      <c r="TGE50" s="159"/>
      <c r="TGF50" s="159"/>
      <c r="TGG50" s="159"/>
      <c r="TGH50" s="159"/>
      <c r="TGI50" s="159"/>
      <c r="TGJ50" s="159"/>
      <c r="TGK50" s="159"/>
      <c r="TGL50" s="159"/>
      <c r="TGM50" s="159"/>
      <c r="TGN50" s="159"/>
      <c r="TGO50" s="159"/>
      <c r="TGP50" s="159"/>
      <c r="TGQ50" s="159"/>
      <c r="TGR50" s="159"/>
      <c r="TGS50" s="159"/>
      <c r="TGT50" s="159"/>
      <c r="TGU50" s="159"/>
      <c r="TGV50" s="159"/>
      <c r="TGW50" s="159"/>
      <c r="TGX50" s="159"/>
      <c r="TGY50" s="159"/>
      <c r="TGZ50" s="159"/>
      <c r="THA50" s="159"/>
      <c r="THB50" s="159"/>
      <c r="THC50" s="159"/>
      <c r="THD50" s="159"/>
      <c r="THE50" s="159"/>
      <c r="THF50" s="159"/>
      <c r="THG50" s="159"/>
      <c r="THH50" s="159"/>
      <c r="THI50" s="159"/>
      <c r="THJ50" s="159"/>
      <c r="THK50" s="159"/>
      <c r="THL50" s="159"/>
      <c r="THM50" s="159"/>
      <c r="THN50" s="159"/>
      <c r="THO50" s="159"/>
      <c r="THP50" s="159"/>
      <c r="THQ50" s="159"/>
      <c r="THR50" s="159"/>
      <c r="THS50" s="159"/>
      <c r="THT50" s="159"/>
      <c r="THU50" s="159"/>
      <c r="THV50" s="159"/>
      <c r="THW50" s="159"/>
      <c r="THX50" s="159"/>
      <c r="THY50" s="159"/>
      <c r="THZ50" s="159"/>
      <c r="TIA50" s="159"/>
      <c r="TIB50" s="159"/>
      <c r="TIC50" s="159"/>
      <c r="TID50" s="159"/>
      <c r="TIE50" s="159"/>
      <c r="TIF50" s="159"/>
      <c r="TIG50" s="159"/>
      <c r="TIH50" s="159"/>
      <c r="TII50" s="159"/>
      <c r="TIJ50" s="159"/>
      <c r="TIK50" s="159"/>
      <c r="TIL50" s="159"/>
      <c r="TIM50" s="159"/>
      <c r="TIN50" s="159"/>
      <c r="TIO50" s="159"/>
      <c r="TIP50" s="159"/>
      <c r="TIQ50" s="159"/>
      <c r="TIR50" s="159"/>
      <c r="TIS50" s="159"/>
      <c r="TIT50" s="159"/>
      <c r="TIU50" s="159"/>
      <c r="TIV50" s="159"/>
      <c r="TIW50" s="159"/>
      <c r="TIX50" s="159"/>
      <c r="TIY50" s="159"/>
      <c r="TIZ50" s="159"/>
      <c r="TJA50" s="159"/>
      <c r="TJB50" s="159"/>
      <c r="TJC50" s="159"/>
      <c r="TJD50" s="159"/>
      <c r="TJE50" s="159"/>
      <c r="TJF50" s="159"/>
      <c r="TJG50" s="159"/>
      <c r="TJH50" s="159"/>
      <c r="TJI50" s="159"/>
      <c r="TJJ50" s="159"/>
      <c r="TJK50" s="159"/>
      <c r="TJL50" s="159"/>
      <c r="TJM50" s="159"/>
      <c r="TJN50" s="159"/>
      <c r="TJO50" s="159"/>
      <c r="TJP50" s="159"/>
      <c r="TJQ50" s="159"/>
      <c r="TJR50" s="159"/>
      <c r="TJS50" s="159"/>
      <c r="TJT50" s="159"/>
      <c r="TJU50" s="159"/>
      <c r="TJV50" s="159"/>
      <c r="TJW50" s="159"/>
      <c r="TJX50" s="159"/>
      <c r="TJY50" s="159"/>
      <c r="TJZ50" s="159"/>
      <c r="TKA50" s="159"/>
      <c r="TKB50" s="159"/>
      <c r="TKC50" s="159"/>
      <c r="TKD50" s="159"/>
      <c r="TKE50" s="159"/>
      <c r="TKF50" s="159"/>
      <c r="TKG50" s="159"/>
      <c r="TKH50" s="159"/>
      <c r="TKI50" s="159"/>
      <c r="TKJ50" s="159"/>
      <c r="TKK50" s="159"/>
      <c r="TKL50" s="159"/>
      <c r="TKM50" s="159"/>
      <c r="TKN50" s="159"/>
      <c r="TKO50" s="159"/>
      <c r="TKP50" s="159"/>
      <c r="TKQ50" s="159"/>
      <c r="TKR50" s="159"/>
      <c r="TKS50" s="159"/>
      <c r="TKT50" s="159"/>
      <c r="TKU50" s="159"/>
      <c r="TKV50" s="159"/>
      <c r="TKW50" s="159"/>
      <c r="TKX50" s="159"/>
      <c r="TKY50" s="159"/>
      <c r="TKZ50" s="159"/>
      <c r="TLA50" s="159"/>
      <c r="TLB50" s="159"/>
      <c r="TLC50" s="159"/>
      <c r="TLD50" s="159"/>
      <c r="TLE50" s="159"/>
      <c r="TLF50" s="159"/>
      <c r="TLG50" s="159"/>
      <c r="TLH50" s="159"/>
      <c r="TLI50" s="159"/>
      <c r="TLJ50" s="159"/>
      <c r="TLK50" s="159"/>
      <c r="TLL50" s="159"/>
      <c r="TLM50" s="159"/>
      <c r="TLN50" s="159"/>
      <c r="TLO50" s="159"/>
      <c r="TLP50" s="159"/>
      <c r="TLQ50" s="159"/>
      <c r="TLR50" s="159"/>
      <c r="TLS50" s="159"/>
      <c r="TLT50" s="159"/>
      <c r="TLU50" s="159"/>
      <c r="TLV50" s="159"/>
      <c r="TLW50" s="159"/>
      <c r="TLX50" s="159"/>
      <c r="TLY50" s="159"/>
      <c r="TLZ50" s="159"/>
      <c r="TMA50" s="159"/>
      <c r="TMB50" s="159"/>
      <c r="TMC50" s="159"/>
      <c r="TMD50" s="159"/>
      <c r="TME50" s="159"/>
      <c r="TMF50" s="159"/>
      <c r="TMG50" s="159"/>
      <c r="TMH50" s="159"/>
      <c r="TMI50" s="159"/>
      <c r="TMJ50" s="159"/>
      <c r="TMK50" s="159"/>
      <c r="TML50" s="159"/>
      <c r="TMM50" s="159"/>
      <c r="TMN50" s="159"/>
      <c r="TMO50" s="159"/>
      <c r="TMP50" s="159"/>
      <c r="TMQ50" s="159"/>
      <c r="TMR50" s="159"/>
      <c r="TMS50" s="159"/>
      <c r="TMT50" s="159"/>
      <c r="TMU50" s="159"/>
      <c r="TMV50" s="159"/>
      <c r="TMW50" s="159"/>
      <c r="TMX50" s="159"/>
      <c r="TMY50" s="159"/>
      <c r="TMZ50" s="159"/>
      <c r="TNA50" s="159"/>
      <c r="TNB50" s="159"/>
      <c r="TNC50" s="159"/>
      <c r="TND50" s="159"/>
      <c r="TNE50" s="159"/>
      <c r="TNF50" s="159"/>
      <c r="TNG50" s="159"/>
      <c r="TNH50" s="159"/>
      <c r="TNI50" s="159"/>
      <c r="TNJ50" s="159"/>
      <c r="TNK50" s="159"/>
      <c r="TNL50" s="159"/>
      <c r="TNM50" s="159"/>
      <c r="TNN50" s="159"/>
      <c r="TNO50" s="159"/>
      <c r="TNP50" s="159"/>
      <c r="TNQ50" s="159"/>
      <c r="TNR50" s="159"/>
      <c r="TNS50" s="159"/>
      <c r="TNT50" s="159"/>
      <c r="TNU50" s="159"/>
      <c r="TNV50" s="159"/>
      <c r="TNW50" s="159"/>
      <c r="TNX50" s="159"/>
      <c r="TNY50" s="159"/>
      <c r="TNZ50" s="159"/>
      <c r="TOA50" s="159"/>
      <c r="TOB50" s="159"/>
      <c r="TOC50" s="159"/>
      <c r="TOD50" s="159"/>
      <c r="TOE50" s="159"/>
      <c r="TOF50" s="159"/>
      <c r="TOG50" s="159"/>
      <c r="TOH50" s="159"/>
      <c r="TOI50" s="159"/>
      <c r="TOJ50" s="159"/>
      <c r="TOK50" s="159"/>
      <c r="TOL50" s="159"/>
      <c r="TOM50" s="159"/>
      <c r="TON50" s="159"/>
      <c r="TOO50" s="159"/>
      <c r="TOP50" s="159"/>
      <c r="TOQ50" s="159"/>
      <c r="TOR50" s="159"/>
      <c r="TOS50" s="159"/>
      <c r="TOT50" s="159"/>
      <c r="TOU50" s="159"/>
      <c r="TOV50" s="159"/>
      <c r="TOW50" s="159"/>
      <c r="TOX50" s="159"/>
      <c r="TOY50" s="159"/>
      <c r="TOZ50" s="159"/>
      <c r="TPA50" s="159"/>
      <c r="TPB50" s="159"/>
      <c r="TPC50" s="159"/>
      <c r="TPD50" s="159"/>
      <c r="TPE50" s="159"/>
      <c r="TPF50" s="159"/>
      <c r="TPG50" s="159"/>
      <c r="TPH50" s="159"/>
      <c r="TPI50" s="159"/>
      <c r="TPJ50" s="159"/>
      <c r="TPK50" s="159"/>
      <c r="TPL50" s="159"/>
      <c r="TPM50" s="159"/>
      <c r="TPN50" s="159"/>
      <c r="TPO50" s="159"/>
      <c r="TPP50" s="159"/>
      <c r="TPQ50" s="159"/>
      <c r="TPR50" s="159"/>
      <c r="TPS50" s="159"/>
      <c r="TPT50" s="159"/>
      <c r="TPU50" s="159"/>
      <c r="TPV50" s="159"/>
      <c r="TPW50" s="159"/>
      <c r="TPX50" s="159"/>
      <c r="TPY50" s="159"/>
      <c r="TPZ50" s="159"/>
      <c r="TQA50" s="159"/>
      <c r="TQB50" s="159"/>
      <c r="TQC50" s="159"/>
      <c r="TQD50" s="159"/>
      <c r="TQE50" s="159"/>
      <c r="TQF50" s="159"/>
      <c r="TQG50" s="159"/>
      <c r="TQH50" s="159"/>
      <c r="TQI50" s="159"/>
      <c r="TQJ50" s="159"/>
      <c r="TQK50" s="159"/>
      <c r="TQL50" s="159"/>
      <c r="TQM50" s="159"/>
      <c r="TQN50" s="159"/>
      <c r="TQO50" s="159"/>
      <c r="TQP50" s="159"/>
      <c r="TQQ50" s="159"/>
      <c r="TQR50" s="159"/>
      <c r="TQS50" s="159"/>
      <c r="TQT50" s="159"/>
      <c r="TQU50" s="159"/>
      <c r="TQV50" s="159"/>
      <c r="TQW50" s="159"/>
      <c r="TQX50" s="159"/>
      <c r="TQY50" s="159"/>
      <c r="TQZ50" s="159"/>
      <c r="TRA50" s="159"/>
      <c r="TRB50" s="159"/>
      <c r="TRC50" s="159"/>
      <c r="TRD50" s="159"/>
      <c r="TRE50" s="159"/>
      <c r="TRF50" s="159"/>
      <c r="TRG50" s="159"/>
      <c r="TRH50" s="159"/>
      <c r="TRI50" s="159"/>
      <c r="TRJ50" s="159"/>
      <c r="TRK50" s="159"/>
      <c r="TRL50" s="159"/>
      <c r="TRM50" s="159"/>
      <c r="TRN50" s="159"/>
      <c r="TRO50" s="159"/>
      <c r="TRP50" s="159"/>
      <c r="TRQ50" s="159"/>
      <c r="TRR50" s="159"/>
      <c r="TRS50" s="159"/>
      <c r="TRT50" s="159"/>
      <c r="TRU50" s="159"/>
      <c r="TRV50" s="159"/>
      <c r="TRW50" s="159"/>
      <c r="TRX50" s="159"/>
      <c r="TRY50" s="159"/>
      <c r="TRZ50" s="159"/>
      <c r="TSA50" s="159"/>
      <c r="TSB50" s="159"/>
      <c r="TSC50" s="159"/>
      <c r="TSD50" s="159"/>
      <c r="TSE50" s="159"/>
      <c r="TSF50" s="159"/>
      <c r="TSG50" s="159"/>
      <c r="TSH50" s="159"/>
      <c r="TSI50" s="159"/>
      <c r="TSJ50" s="159"/>
      <c r="TSK50" s="159"/>
      <c r="TSL50" s="159"/>
      <c r="TSM50" s="159"/>
      <c r="TSN50" s="159"/>
      <c r="TSO50" s="159"/>
      <c r="TSP50" s="159"/>
      <c r="TSQ50" s="159"/>
      <c r="TSR50" s="159"/>
      <c r="TSS50" s="159"/>
      <c r="TST50" s="159"/>
      <c r="TSU50" s="159"/>
      <c r="TSV50" s="159"/>
      <c r="TSW50" s="159"/>
      <c r="TSX50" s="159"/>
      <c r="TSY50" s="159"/>
      <c r="TSZ50" s="159"/>
      <c r="TTA50" s="159"/>
      <c r="TTB50" s="159"/>
      <c r="TTC50" s="159"/>
      <c r="TTD50" s="159"/>
      <c r="TTE50" s="159"/>
      <c r="TTF50" s="159"/>
      <c r="TTG50" s="159"/>
      <c r="TTH50" s="159"/>
      <c r="TTI50" s="159"/>
      <c r="TTJ50" s="159"/>
      <c r="TTK50" s="159"/>
      <c r="TTL50" s="159"/>
      <c r="TTM50" s="159"/>
      <c r="TTN50" s="159"/>
      <c r="TTO50" s="159"/>
      <c r="TTP50" s="159"/>
      <c r="TTQ50" s="159"/>
      <c r="TTR50" s="159"/>
      <c r="TTS50" s="159"/>
      <c r="TTT50" s="159"/>
      <c r="TTU50" s="159"/>
      <c r="TTV50" s="159"/>
      <c r="TTW50" s="159"/>
      <c r="TTX50" s="159"/>
      <c r="TTY50" s="159"/>
      <c r="TTZ50" s="159"/>
      <c r="TUA50" s="159"/>
      <c r="TUB50" s="159"/>
      <c r="TUC50" s="159"/>
      <c r="TUD50" s="159"/>
      <c r="TUE50" s="159"/>
      <c r="TUF50" s="159"/>
      <c r="TUG50" s="159"/>
      <c r="TUH50" s="159"/>
      <c r="TUI50" s="159"/>
      <c r="TUJ50" s="159"/>
      <c r="TUK50" s="159"/>
      <c r="TUL50" s="159"/>
      <c r="TUM50" s="159"/>
      <c r="TUN50" s="159"/>
      <c r="TUO50" s="159"/>
      <c r="TUP50" s="159"/>
      <c r="TUQ50" s="159"/>
      <c r="TUR50" s="159"/>
      <c r="TUS50" s="159"/>
      <c r="TUT50" s="159"/>
      <c r="TUU50" s="159"/>
      <c r="TUV50" s="159"/>
      <c r="TUW50" s="159"/>
      <c r="TUX50" s="159"/>
      <c r="TUY50" s="159"/>
      <c r="TUZ50" s="159"/>
      <c r="TVA50" s="159"/>
      <c r="TVB50" s="159"/>
      <c r="TVC50" s="159"/>
      <c r="TVD50" s="159"/>
      <c r="TVE50" s="159"/>
      <c r="TVF50" s="159"/>
      <c r="TVG50" s="159"/>
      <c r="TVH50" s="159"/>
      <c r="TVI50" s="159"/>
      <c r="TVJ50" s="159"/>
      <c r="TVK50" s="159"/>
      <c r="TVL50" s="159"/>
      <c r="TVM50" s="159"/>
      <c r="TVN50" s="159"/>
      <c r="TVO50" s="159"/>
      <c r="TVP50" s="159"/>
      <c r="TVQ50" s="159"/>
      <c r="TVR50" s="159"/>
      <c r="TVS50" s="159"/>
      <c r="TVT50" s="159"/>
      <c r="TVU50" s="159"/>
      <c r="TVV50" s="159"/>
      <c r="TVW50" s="159"/>
      <c r="TVX50" s="159"/>
      <c r="TVY50" s="159"/>
      <c r="TVZ50" s="159"/>
      <c r="TWA50" s="159"/>
      <c r="TWB50" s="159"/>
      <c r="TWC50" s="159"/>
      <c r="TWD50" s="159"/>
      <c r="TWE50" s="159"/>
      <c r="TWF50" s="159"/>
      <c r="TWG50" s="159"/>
      <c r="TWH50" s="159"/>
      <c r="TWI50" s="159"/>
      <c r="TWJ50" s="159"/>
      <c r="TWK50" s="159"/>
      <c r="TWL50" s="159"/>
      <c r="TWM50" s="159"/>
      <c r="TWN50" s="159"/>
      <c r="TWO50" s="159"/>
      <c r="TWP50" s="159"/>
      <c r="TWQ50" s="159"/>
      <c r="TWR50" s="159"/>
      <c r="TWS50" s="159"/>
      <c r="TWT50" s="159"/>
      <c r="TWU50" s="159"/>
      <c r="TWV50" s="159"/>
      <c r="TWW50" s="159"/>
      <c r="TWX50" s="159"/>
      <c r="TWY50" s="159"/>
      <c r="TWZ50" s="159"/>
      <c r="TXA50" s="159"/>
      <c r="TXB50" s="159"/>
      <c r="TXC50" s="159"/>
      <c r="TXD50" s="159"/>
      <c r="TXE50" s="159"/>
      <c r="TXF50" s="159"/>
      <c r="TXG50" s="159"/>
      <c r="TXH50" s="159"/>
      <c r="TXI50" s="159"/>
      <c r="TXJ50" s="159"/>
      <c r="TXK50" s="159"/>
      <c r="TXL50" s="159"/>
      <c r="TXM50" s="159"/>
      <c r="TXN50" s="159"/>
      <c r="TXO50" s="159"/>
      <c r="TXP50" s="159"/>
      <c r="TXQ50" s="159"/>
      <c r="TXR50" s="159"/>
      <c r="TXS50" s="159"/>
      <c r="TXT50" s="159"/>
      <c r="TXU50" s="159"/>
      <c r="TXV50" s="159"/>
      <c r="TXW50" s="159"/>
      <c r="TXX50" s="159"/>
      <c r="TXY50" s="159"/>
      <c r="TXZ50" s="159"/>
      <c r="TYA50" s="159"/>
      <c r="TYB50" s="159"/>
      <c r="TYC50" s="159"/>
      <c r="TYD50" s="159"/>
      <c r="TYE50" s="159"/>
      <c r="TYF50" s="159"/>
      <c r="TYG50" s="159"/>
      <c r="TYH50" s="159"/>
      <c r="TYI50" s="159"/>
      <c r="TYJ50" s="159"/>
      <c r="TYK50" s="159"/>
      <c r="TYL50" s="159"/>
      <c r="TYM50" s="159"/>
      <c r="TYN50" s="159"/>
      <c r="TYO50" s="159"/>
      <c r="TYP50" s="159"/>
      <c r="TYQ50" s="159"/>
      <c r="TYR50" s="159"/>
      <c r="TYS50" s="159"/>
      <c r="TYT50" s="159"/>
      <c r="TYU50" s="159"/>
      <c r="TYV50" s="159"/>
      <c r="TYW50" s="159"/>
      <c r="TYX50" s="159"/>
      <c r="TYY50" s="159"/>
      <c r="TYZ50" s="159"/>
      <c r="TZA50" s="159"/>
      <c r="TZB50" s="159"/>
      <c r="TZC50" s="159"/>
      <c r="TZD50" s="159"/>
      <c r="TZE50" s="159"/>
      <c r="TZF50" s="159"/>
      <c r="TZG50" s="159"/>
      <c r="TZH50" s="159"/>
      <c r="TZI50" s="159"/>
      <c r="TZJ50" s="159"/>
      <c r="TZK50" s="159"/>
      <c r="TZL50" s="159"/>
      <c r="TZM50" s="159"/>
      <c r="TZN50" s="159"/>
      <c r="TZO50" s="159"/>
      <c r="TZP50" s="159"/>
      <c r="TZQ50" s="159"/>
      <c r="TZR50" s="159"/>
      <c r="TZS50" s="159"/>
      <c r="TZT50" s="159"/>
      <c r="TZU50" s="159"/>
      <c r="TZV50" s="159"/>
      <c r="TZW50" s="159"/>
      <c r="TZX50" s="159"/>
      <c r="TZY50" s="159"/>
      <c r="TZZ50" s="159"/>
      <c r="UAA50" s="159"/>
      <c r="UAB50" s="159"/>
      <c r="UAC50" s="159"/>
      <c r="UAD50" s="159"/>
      <c r="UAE50" s="159"/>
      <c r="UAF50" s="159"/>
      <c r="UAG50" s="159"/>
      <c r="UAH50" s="159"/>
      <c r="UAI50" s="159"/>
      <c r="UAJ50" s="159"/>
      <c r="UAK50" s="159"/>
      <c r="UAL50" s="159"/>
      <c r="UAM50" s="159"/>
      <c r="UAN50" s="159"/>
      <c r="UAO50" s="159"/>
      <c r="UAP50" s="159"/>
      <c r="UAQ50" s="159"/>
      <c r="UAR50" s="159"/>
      <c r="UAS50" s="159"/>
      <c r="UAT50" s="159"/>
      <c r="UAU50" s="159"/>
      <c r="UAV50" s="159"/>
      <c r="UAW50" s="159"/>
      <c r="UAX50" s="159"/>
      <c r="UAY50" s="159"/>
      <c r="UAZ50" s="159"/>
      <c r="UBA50" s="159"/>
      <c r="UBB50" s="159"/>
      <c r="UBC50" s="159"/>
      <c r="UBD50" s="159"/>
      <c r="UBE50" s="159"/>
      <c r="UBF50" s="159"/>
      <c r="UBG50" s="159"/>
      <c r="UBH50" s="159"/>
      <c r="UBI50" s="159"/>
      <c r="UBJ50" s="159"/>
      <c r="UBK50" s="159"/>
      <c r="UBL50" s="159"/>
      <c r="UBM50" s="159"/>
      <c r="UBN50" s="159"/>
      <c r="UBO50" s="159"/>
      <c r="UBP50" s="159"/>
      <c r="UBQ50" s="159"/>
      <c r="UBR50" s="159"/>
      <c r="UBS50" s="159"/>
      <c r="UBT50" s="159"/>
      <c r="UBU50" s="159"/>
      <c r="UBV50" s="159"/>
      <c r="UBW50" s="159"/>
      <c r="UBX50" s="159"/>
      <c r="UBY50" s="159"/>
      <c r="UBZ50" s="159"/>
      <c r="UCA50" s="159"/>
      <c r="UCB50" s="159"/>
      <c r="UCC50" s="159"/>
      <c r="UCD50" s="159"/>
      <c r="UCE50" s="159"/>
      <c r="UCF50" s="159"/>
      <c r="UCG50" s="159"/>
      <c r="UCH50" s="159"/>
      <c r="UCI50" s="159"/>
      <c r="UCJ50" s="159"/>
      <c r="UCK50" s="159"/>
      <c r="UCL50" s="159"/>
      <c r="UCM50" s="159"/>
      <c r="UCN50" s="159"/>
      <c r="UCO50" s="159"/>
      <c r="UCP50" s="159"/>
      <c r="UCQ50" s="159"/>
      <c r="UCR50" s="159"/>
      <c r="UCS50" s="159"/>
      <c r="UCT50" s="159"/>
      <c r="UCU50" s="159"/>
      <c r="UCV50" s="159"/>
      <c r="UCW50" s="159"/>
      <c r="UCX50" s="159"/>
      <c r="UCY50" s="159"/>
      <c r="UCZ50" s="159"/>
      <c r="UDA50" s="159"/>
      <c r="UDB50" s="159"/>
      <c r="UDC50" s="159"/>
      <c r="UDD50" s="159"/>
      <c r="UDE50" s="159"/>
      <c r="UDF50" s="159"/>
      <c r="UDG50" s="159"/>
      <c r="UDH50" s="159"/>
      <c r="UDI50" s="159"/>
      <c r="UDJ50" s="159"/>
      <c r="UDK50" s="159"/>
      <c r="UDL50" s="159"/>
      <c r="UDM50" s="159"/>
      <c r="UDN50" s="159"/>
      <c r="UDO50" s="159"/>
      <c r="UDP50" s="159"/>
      <c r="UDQ50" s="159"/>
      <c r="UDR50" s="159"/>
      <c r="UDS50" s="159"/>
      <c r="UDT50" s="159"/>
      <c r="UDU50" s="159"/>
      <c r="UDV50" s="159"/>
      <c r="UDW50" s="159"/>
      <c r="UDX50" s="159"/>
      <c r="UDY50" s="159"/>
      <c r="UDZ50" s="159"/>
      <c r="UEA50" s="159"/>
      <c r="UEB50" s="159"/>
      <c r="UEC50" s="159"/>
      <c r="UED50" s="159"/>
      <c r="UEE50" s="159"/>
      <c r="UEF50" s="159"/>
      <c r="UEG50" s="159"/>
      <c r="UEH50" s="159"/>
      <c r="UEI50" s="159"/>
      <c r="UEJ50" s="159"/>
      <c r="UEK50" s="159"/>
      <c r="UEL50" s="159"/>
      <c r="UEM50" s="159"/>
      <c r="UEN50" s="159"/>
      <c r="UEO50" s="159"/>
      <c r="UEP50" s="159"/>
      <c r="UEQ50" s="159"/>
      <c r="UER50" s="159"/>
      <c r="UES50" s="159"/>
      <c r="UET50" s="159"/>
      <c r="UEU50" s="159"/>
      <c r="UEV50" s="159"/>
      <c r="UEW50" s="159"/>
      <c r="UEX50" s="159"/>
      <c r="UEY50" s="159"/>
      <c r="UEZ50" s="159"/>
      <c r="UFA50" s="159"/>
      <c r="UFB50" s="159"/>
      <c r="UFC50" s="159"/>
      <c r="UFD50" s="159"/>
      <c r="UFE50" s="159"/>
      <c r="UFF50" s="159"/>
      <c r="UFG50" s="159"/>
      <c r="UFH50" s="159"/>
      <c r="UFI50" s="159"/>
      <c r="UFJ50" s="159"/>
      <c r="UFK50" s="159"/>
      <c r="UFL50" s="159"/>
      <c r="UFM50" s="159"/>
      <c r="UFN50" s="159"/>
      <c r="UFO50" s="159"/>
      <c r="UFP50" s="159"/>
      <c r="UFQ50" s="159"/>
      <c r="UFR50" s="159"/>
      <c r="UFS50" s="159"/>
      <c r="UFT50" s="159"/>
      <c r="UFU50" s="159"/>
      <c r="UFV50" s="159"/>
      <c r="UFW50" s="159"/>
      <c r="UFX50" s="159"/>
      <c r="UFY50" s="159"/>
      <c r="UFZ50" s="159"/>
      <c r="UGA50" s="159"/>
      <c r="UGB50" s="159"/>
      <c r="UGC50" s="159"/>
      <c r="UGD50" s="159"/>
      <c r="UGE50" s="159"/>
      <c r="UGF50" s="159"/>
      <c r="UGG50" s="159"/>
      <c r="UGH50" s="159"/>
      <c r="UGI50" s="159"/>
      <c r="UGJ50" s="159"/>
      <c r="UGK50" s="159"/>
      <c r="UGL50" s="159"/>
      <c r="UGM50" s="159"/>
      <c r="UGN50" s="159"/>
      <c r="UGO50" s="159"/>
      <c r="UGP50" s="159"/>
      <c r="UGQ50" s="159"/>
      <c r="UGR50" s="159"/>
      <c r="UGS50" s="159"/>
      <c r="UGT50" s="159"/>
      <c r="UGU50" s="159"/>
      <c r="UGV50" s="159"/>
      <c r="UGW50" s="159"/>
      <c r="UGX50" s="159"/>
      <c r="UGY50" s="159"/>
      <c r="UGZ50" s="159"/>
      <c r="UHA50" s="159"/>
      <c r="UHB50" s="159"/>
      <c r="UHC50" s="159"/>
      <c r="UHD50" s="159"/>
      <c r="UHE50" s="159"/>
      <c r="UHF50" s="159"/>
      <c r="UHG50" s="159"/>
      <c r="UHH50" s="159"/>
      <c r="UHI50" s="159"/>
      <c r="UHJ50" s="159"/>
      <c r="UHK50" s="159"/>
      <c r="UHL50" s="159"/>
      <c r="UHM50" s="159"/>
      <c r="UHN50" s="159"/>
      <c r="UHO50" s="159"/>
      <c r="UHP50" s="159"/>
      <c r="UHQ50" s="159"/>
      <c r="UHR50" s="159"/>
      <c r="UHS50" s="159"/>
      <c r="UHT50" s="159"/>
      <c r="UHU50" s="159"/>
      <c r="UHV50" s="159"/>
      <c r="UHW50" s="159"/>
      <c r="UHX50" s="159"/>
      <c r="UHY50" s="159"/>
      <c r="UHZ50" s="159"/>
      <c r="UIA50" s="159"/>
      <c r="UIB50" s="159"/>
      <c r="UIC50" s="159"/>
      <c r="UID50" s="159"/>
      <c r="UIE50" s="159"/>
      <c r="UIF50" s="159"/>
      <c r="UIG50" s="159"/>
      <c r="UIH50" s="159"/>
      <c r="UII50" s="159"/>
      <c r="UIJ50" s="159"/>
      <c r="UIK50" s="159"/>
      <c r="UIL50" s="159"/>
      <c r="UIM50" s="159"/>
      <c r="UIN50" s="159"/>
      <c r="UIO50" s="159"/>
      <c r="UIP50" s="159"/>
      <c r="UIQ50" s="159"/>
      <c r="UIR50" s="159"/>
      <c r="UIS50" s="159"/>
      <c r="UIT50" s="159"/>
      <c r="UIU50" s="159"/>
      <c r="UIV50" s="159"/>
      <c r="UIW50" s="159"/>
      <c r="UIX50" s="159"/>
      <c r="UIY50" s="159"/>
      <c r="UIZ50" s="159"/>
      <c r="UJA50" s="159"/>
      <c r="UJB50" s="159"/>
      <c r="UJC50" s="159"/>
      <c r="UJD50" s="159"/>
      <c r="UJE50" s="159"/>
      <c r="UJF50" s="159"/>
      <c r="UJG50" s="159"/>
      <c r="UJH50" s="159"/>
      <c r="UJI50" s="159"/>
      <c r="UJJ50" s="159"/>
      <c r="UJK50" s="159"/>
      <c r="UJL50" s="159"/>
      <c r="UJM50" s="159"/>
      <c r="UJN50" s="159"/>
      <c r="UJO50" s="159"/>
      <c r="UJP50" s="159"/>
      <c r="UJQ50" s="159"/>
      <c r="UJR50" s="159"/>
      <c r="UJS50" s="159"/>
      <c r="UJT50" s="159"/>
      <c r="UJU50" s="159"/>
      <c r="UJV50" s="159"/>
      <c r="UJW50" s="159"/>
      <c r="UJX50" s="159"/>
      <c r="UJY50" s="159"/>
      <c r="UJZ50" s="159"/>
      <c r="UKA50" s="159"/>
      <c r="UKB50" s="159"/>
      <c r="UKC50" s="159"/>
      <c r="UKD50" s="159"/>
      <c r="UKE50" s="159"/>
      <c r="UKF50" s="159"/>
      <c r="UKG50" s="159"/>
      <c r="UKH50" s="159"/>
      <c r="UKI50" s="159"/>
      <c r="UKJ50" s="159"/>
      <c r="UKK50" s="159"/>
      <c r="UKL50" s="159"/>
      <c r="UKM50" s="159"/>
      <c r="UKN50" s="159"/>
      <c r="UKO50" s="159"/>
      <c r="UKP50" s="159"/>
      <c r="UKQ50" s="159"/>
      <c r="UKR50" s="159"/>
      <c r="UKS50" s="159"/>
      <c r="UKT50" s="159"/>
      <c r="UKU50" s="159"/>
      <c r="UKV50" s="159"/>
      <c r="UKW50" s="159"/>
      <c r="UKX50" s="159"/>
      <c r="UKY50" s="159"/>
      <c r="UKZ50" s="159"/>
      <c r="ULA50" s="159"/>
      <c r="ULB50" s="159"/>
      <c r="ULC50" s="159"/>
      <c r="ULD50" s="159"/>
      <c r="ULE50" s="159"/>
      <c r="ULF50" s="159"/>
      <c r="ULG50" s="159"/>
      <c r="ULH50" s="159"/>
      <c r="ULI50" s="159"/>
      <c r="ULJ50" s="159"/>
      <c r="ULK50" s="159"/>
      <c r="ULL50" s="159"/>
      <c r="ULM50" s="159"/>
      <c r="ULN50" s="159"/>
      <c r="ULO50" s="159"/>
      <c r="ULP50" s="159"/>
      <c r="ULQ50" s="159"/>
      <c r="ULR50" s="159"/>
      <c r="ULS50" s="159"/>
      <c r="ULT50" s="159"/>
      <c r="ULU50" s="159"/>
      <c r="ULV50" s="159"/>
      <c r="ULW50" s="159"/>
      <c r="ULX50" s="159"/>
      <c r="ULY50" s="159"/>
      <c r="ULZ50" s="159"/>
      <c r="UMA50" s="159"/>
      <c r="UMB50" s="159"/>
      <c r="UMC50" s="159"/>
      <c r="UMD50" s="159"/>
      <c r="UME50" s="159"/>
      <c r="UMF50" s="159"/>
      <c r="UMG50" s="159"/>
      <c r="UMH50" s="159"/>
      <c r="UMI50" s="159"/>
      <c r="UMJ50" s="159"/>
      <c r="UMK50" s="159"/>
      <c r="UML50" s="159"/>
      <c r="UMM50" s="159"/>
      <c r="UMN50" s="159"/>
      <c r="UMO50" s="159"/>
      <c r="UMP50" s="159"/>
      <c r="UMQ50" s="159"/>
      <c r="UMR50" s="159"/>
      <c r="UMS50" s="159"/>
      <c r="UMT50" s="159"/>
      <c r="UMU50" s="159"/>
      <c r="UMV50" s="159"/>
      <c r="UMW50" s="159"/>
      <c r="UMX50" s="159"/>
      <c r="UMY50" s="159"/>
      <c r="UMZ50" s="159"/>
      <c r="UNA50" s="159"/>
      <c r="UNB50" s="159"/>
      <c r="UNC50" s="159"/>
      <c r="UND50" s="159"/>
      <c r="UNE50" s="159"/>
      <c r="UNF50" s="159"/>
      <c r="UNG50" s="159"/>
      <c r="UNH50" s="159"/>
      <c r="UNI50" s="159"/>
      <c r="UNJ50" s="159"/>
      <c r="UNK50" s="159"/>
      <c r="UNL50" s="159"/>
      <c r="UNM50" s="159"/>
      <c r="UNN50" s="159"/>
      <c r="UNO50" s="159"/>
      <c r="UNP50" s="159"/>
      <c r="UNQ50" s="159"/>
      <c r="UNR50" s="159"/>
      <c r="UNS50" s="159"/>
      <c r="UNT50" s="159"/>
      <c r="UNU50" s="159"/>
      <c r="UNV50" s="159"/>
      <c r="UNW50" s="159"/>
      <c r="UNX50" s="159"/>
      <c r="UNY50" s="159"/>
      <c r="UNZ50" s="159"/>
      <c r="UOA50" s="159"/>
      <c r="UOB50" s="159"/>
      <c r="UOC50" s="159"/>
      <c r="UOD50" s="159"/>
      <c r="UOE50" s="159"/>
      <c r="UOF50" s="159"/>
      <c r="UOG50" s="159"/>
      <c r="UOH50" s="159"/>
      <c r="UOI50" s="159"/>
      <c r="UOJ50" s="159"/>
      <c r="UOK50" s="159"/>
      <c r="UOL50" s="159"/>
      <c r="UOM50" s="159"/>
      <c r="UON50" s="159"/>
      <c r="UOO50" s="159"/>
      <c r="UOP50" s="159"/>
      <c r="UOQ50" s="159"/>
      <c r="UOR50" s="159"/>
      <c r="UOS50" s="159"/>
      <c r="UOT50" s="159"/>
      <c r="UOU50" s="159"/>
      <c r="UOV50" s="159"/>
      <c r="UOW50" s="159"/>
      <c r="UOX50" s="159"/>
      <c r="UOY50" s="159"/>
      <c r="UOZ50" s="159"/>
      <c r="UPA50" s="159"/>
      <c r="UPB50" s="159"/>
      <c r="UPC50" s="159"/>
      <c r="UPD50" s="159"/>
      <c r="UPE50" s="159"/>
      <c r="UPF50" s="159"/>
      <c r="UPG50" s="159"/>
      <c r="UPH50" s="159"/>
      <c r="UPI50" s="159"/>
      <c r="UPJ50" s="159"/>
      <c r="UPK50" s="159"/>
      <c r="UPL50" s="159"/>
      <c r="UPM50" s="159"/>
      <c r="UPN50" s="159"/>
      <c r="UPO50" s="159"/>
      <c r="UPP50" s="159"/>
      <c r="UPQ50" s="159"/>
      <c r="UPR50" s="159"/>
      <c r="UPS50" s="159"/>
      <c r="UPT50" s="159"/>
      <c r="UPU50" s="159"/>
      <c r="UPV50" s="159"/>
      <c r="UPW50" s="159"/>
      <c r="UPX50" s="159"/>
      <c r="UPY50" s="159"/>
      <c r="UPZ50" s="159"/>
      <c r="UQA50" s="159"/>
      <c r="UQB50" s="159"/>
      <c r="UQC50" s="159"/>
      <c r="UQD50" s="159"/>
      <c r="UQE50" s="159"/>
      <c r="UQF50" s="159"/>
      <c r="UQG50" s="159"/>
      <c r="UQH50" s="159"/>
      <c r="UQI50" s="159"/>
      <c r="UQJ50" s="159"/>
      <c r="UQK50" s="159"/>
      <c r="UQL50" s="159"/>
      <c r="UQM50" s="159"/>
      <c r="UQN50" s="159"/>
      <c r="UQO50" s="159"/>
      <c r="UQP50" s="159"/>
      <c r="UQQ50" s="159"/>
      <c r="UQR50" s="159"/>
      <c r="UQS50" s="159"/>
      <c r="UQT50" s="159"/>
      <c r="UQU50" s="159"/>
      <c r="UQV50" s="159"/>
      <c r="UQW50" s="159"/>
      <c r="UQX50" s="159"/>
      <c r="UQY50" s="159"/>
      <c r="UQZ50" s="159"/>
      <c r="URA50" s="159"/>
      <c r="URB50" s="159"/>
      <c r="URC50" s="159"/>
      <c r="URD50" s="159"/>
      <c r="URE50" s="159"/>
      <c r="URF50" s="159"/>
      <c r="URG50" s="159"/>
      <c r="URH50" s="159"/>
      <c r="URI50" s="159"/>
      <c r="URJ50" s="159"/>
      <c r="URK50" s="159"/>
      <c r="URL50" s="159"/>
      <c r="URM50" s="159"/>
      <c r="URN50" s="159"/>
      <c r="URO50" s="159"/>
      <c r="URP50" s="159"/>
      <c r="URQ50" s="159"/>
      <c r="URR50" s="159"/>
      <c r="URS50" s="159"/>
      <c r="URT50" s="159"/>
      <c r="URU50" s="159"/>
      <c r="URV50" s="159"/>
      <c r="URW50" s="159"/>
      <c r="URX50" s="159"/>
      <c r="URY50" s="159"/>
      <c r="URZ50" s="159"/>
      <c r="USA50" s="159"/>
      <c r="USB50" s="159"/>
      <c r="USC50" s="159"/>
      <c r="USD50" s="159"/>
      <c r="USE50" s="159"/>
      <c r="USF50" s="159"/>
      <c r="USG50" s="159"/>
      <c r="USH50" s="159"/>
      <c r="USI50" s="159"/>
      <c r="USJ50" s="159"/>
      <c r="USK50" s="159"/>
      <c r="USL50" s="159"/>
      <c r="USM50" s="159"/>
      <c r="USN50" s="159"/>
      <c r="USO50" s="159"/>
      <c r="USP50" s="159"/>
      <c r="USQ50" s="159"/>
      <c r="USR50" s="159"/>
      <c r="USS50" s="159"/>
      <c r="UST50" s="159"/>
      <c r="USU50" s="159"/>
      <c r="USV50" s="159"/>
      <c r="USW50" s="159"/>
      <c r="USX50" s="159"/>
      <c r="USY50" s="159"/>
      <c r="USZ50" s="159"/>
      <c r="UTA50" s="159"/>
      <c r="UTB50" s="159"/>
      <c r="UTC50" s="159"/>
      <c r="UTD50" s="159"/>
      <c r="UTE50" s="159"/>
      <c r="UTF50" s="159"/>
      <c r="UTG50" s="159"/>
      <c r="UTH50" s="159"/>
      <c r="UTI50" s="159"/>
      <c r="UTJ50" s="159"/>
      <c r="UTK50" s="159"/>
      <c r="UTL50" s="159"/>
      <c r="UTM50" s="159"/>
      <c r="UTN50" s="159"/>
      <c r="UTO50" s="159"/>
      <c r="UTP50" s="159"/>
      <c r="UTQ50" s="159"/>
      <c r="UTR50" s="159"/>
      <c r="UTS50" s="159"/>
      <c r="UTT50" s="159"/>
      <c r="UTU50" s="159"/>
      <c r="UTV50" s="159"/>
      <c r="UTW50" s="159"/>
      <c r="UTX50" s="159"/>
      <c r="UTY50" s="159"/>
      <c r="UTZ50" s="159"/>
      <c r="UUA50" s="159"/>
      <c r="UUB50" s="159"/>
      <c r="UUC50" s="159"/>
      <c r="UUD50" s="159"/>
      <c r="UUE50" s="159"/>
      <c r="UUF50" s="159"/>
      <c r="UUG50" s="159"/>
      <c r="UUH50" s="159"/>
      <c r="UUI50" s="159"/>
      <c r="UUJ50" s="159"/>
      <c r="UUK50" s="159"/>
      <c r="UUL50" s="159"/>
      <c r="UUM50" s="159"/>
      <c r="UUN50" s="159"/>
      <c r="UUO50" s="159"/>
      <c r="UUP50" s="159"/>
      <c r="UUQ50" s="159"/>
      <c r="UUR50" s="159"/>
      <c r="UUS50" s="159"/>
      <c r="UUT50" s="159"/>
      <c r="UUU50" s="159"/>
      <c r="UUV50" s="159"/>
      <c r="UUW50" s="159"/>
      <c r="UUX50" s="159"/>
      <c r="UUY50" s="159"/>
      <c r="UUZ50" s="159"/>
      <c r="UVA50" s="159"/>
      <c r="UVB50" s="159"/>
      <c r="UVC50" s="159"/>
      <c r="UVD50" s="159"/>
      <c r="UVE50" s="159"/>
      <c r="UVF50" s="159"/>
      <c r="UVG50" s="159"/>
      <c r="UVH50" s="159"/>
      <c r="UVI50" s="159"/>
      <c r="UVJ50" s="159"/>
      <c r="UVK50" s="159"/>
      <c r="UVL50" s="159"/>
      <c r="UVM50" s="159"/>
      <c r="UVN50" s="159"/>
      <c r="UVO50" s="159"/>
      <c r="UVP50" s="159"/>
      <c r="UVQ50" s="159"/>
      <c r="UVR50" s="159"/>
      <c r="UVS50" s="159"/>
      <c r="UVT50" s="159"/>
      <c r="UVU50" s="159"/>
      <c r="UVV50" s="159"/>
      <c r="UVW50" s="159"/>
      <c r="UVX50" s="159"/>
      <c r="UVY50" s="159"/>
      <c r="UVZ50" s="159"/>
      <c r="UWA50" s="159"/>
      <c r="UWB50" s="159"/>
      <c r="UWC50" s="159"/>
      <c r="UWD50" s="159"/>
      <c r="UWE50" s="159"/>
      <c r="UWF50" s="159"/>
      <c r="UWG50" s="159"/>
      <c r="UWH50" s="159"/>
      <c r="UWI50" s="159"/>
      <c r="UWJ50" s="159"/>
      <c r="UWK50" s="159"/>
      <c r="UWL50" s="159"/>
      <c r="UWM50" s="159"/>
      <c r="UWN50" s="159"/>
      <c r="UWO50" s="159"/>
      <c r="UWP50" s="159"/>
      <c r="UWQ50" s="159"/>
      <c r="UWR50" s="159"/>
      <c r="UWS50" s="159"/>
      <c r="UWT50" s="159"/>
      <c r="UWU50" s="159"/>
      <c r="UWV50" s="159"/>
      <c r="UWW50" s="159"/>
      <c r="UWX50" s="159"/>
      <c r="UWY50" s="159"/>
      <c r="UWZ50" s="159"/>
      <c r="UXA50" s="159"/>
      <c r="UXB50" s="159"/>
      <c r="UXC50" s="159"/>
      <c r="UXD50" s="159"/>
      <c r="UXE50" s="159"/>
      <c r="UXF50" s="159"/>
      <c r="UXG50" s="159"/>
      <c r="UXH50" s="159"/>
      <c r="UXI50" s="159"/>
      <c r="UXJ50" s="159"/>
      <c r="UXK50" s="159"/>
      <c r="UXL50" s="159"/>
      <c r="UXM50" s="159"/>
      <c r="UXN50" s="159"/>
      <c r="UXO50" s="159"/>
      <c r="UXP50" s="159"/>
      <c r="UXQ50" s="159"/>
      <c r="UXR50" s="159"/>
      <c r="UXS50" s="159"/>
      <c r="UXT50" s="159"/>
      <c r="UXU50" s="159"/>
      <c r="UXV50" s="159"/>
      <c r="UXW50" s="159"/>
      <c r="UXX50" s="159"/>
      <c r="UXY50" s="159"/>
      <c r="UXZ50" s="159"/>
      <c r="UYA50" s="159"/>
      <c r="UYB50" s="159"/>
      <c r="UYC50" s="159"/>
      <c r="UYD50" s="159"/>
      <c r="UYE50" s="159"/>
      <c r="UYF50" s="159"/>
      <c r="UYG50" s="159"/>
      <c r="UYH50" s="159"/>
      <c r="UYI50" s="159"/>
      <c r="UYJ50" s="159"/>
      <c r="UYK50" s="159"/>
      <c r="UYL50" s="159"/>
      <c r="UYM50" s="159"/>
      <c r="UYN50" s="159"/>
      <c r="UYO50" s="159"/>
      <c r="UYP50" s="159"/>
      <c r="UYQ50" s="159"/>
      <c r="UYR50" s="159"/>
      <c r="UYS50" s="159"/>
      <c r="UYT50" s="159"/>
      <c r="UYU50" s="159"/>
      <c r="UYV50" s="159"/>
      <c r="UYW50" s="159"/>
      <c r="UYX50" s="159"/>
      <c r="UYY50" s="159"/>
      <c r="UYZ50" s="159"/>
      <c r="UZA50" s="159"/>
      <c r="UZB50" s="159"/>
      <c r="UZC50" s="159"/>
      <c r="UZD50" s="159"/>
      <c r="UZE50" s="159"/>
      <c r="UZF50" s="159"/>
      <c r="UZG50" s="159"/>
      <c r="UZH50" s="159"/>
      <c r="UZI50" s="159"/>
      <c r="UZJ50" s="159"/>
      <c r="UZK50" s="159"/>
      <c r="UZL50" s="159"/>
      <c r="UZM50" s="159"/>
      <c r="UZN50" s="159"/>
      <c r="UZO50" s="159"/>
      <c r="UZP50" s="159"/>
      <c r="UZQ50" s="159"/>
      <c r="UZR50" s="159"/>
      <c r="UZS50" s="159"/>
      <c r="UZT50" s="159"/>
      <c r="UZU50" s="159"/>
      <c r="UZV50" s="159"/>
      <c r="UZW50" s="159"/>
      <c r="UZX50" s="159"/>
      <c r="UZY50" s="159"/>
      <c r="UZZ50" s="159"/>
      <c r="VAA50" s="159"/>
      <c r="VAB50" s="159"/>
      <c r="VAC50" s="159"/>
      <c r="VAD50" s="159"/>
      <c r="VAE50" s="159"/>
      <c r="VAF50" s="159"/>
      <c r="VAG50" s="159"/>
      <c r="VAH50" s="159"/>
      <c r="VAI50" s="159"/>
      <c r="VAJ50" s="159"/>
      <c r="VAK50" s="159"/>
      <c r="VAL50" s="159"/>
      <c r="VAM50" s="159"/>
      <c r="VAN50" s="159"/>
      <c r="VAO50" s="159"/>
      <c r="VAP50" s="159"/>
      <c r="VAQ50" s="159"/>
      <c r="VAR50" s="159"/>
      <c r="VAS50" s="159"/>
      <c r="VAT50" s="159"/>
      <c r="VAU50" s="159"/>
      <c r="VAV50" s="159"/>
      <c r="VAW50" s="159"/>
      <c r="VAX50" s="159"/>
      <c r="VAY50" s="159"/>
      <c r="VAZ50" s="159"/>
      <c r="VBA50" s="159"/>
      <c r="VBB50" s="159"/>
      <c r="VBC50" s="159"/>
      <c r="VBD50" s="159"/>
      <c r="VBE50" s="159"/>
      <c r="VBF50" s="159"/>
      <c r="VBG50" s="159"/>
      <c r="VBH50" s="159"/>
      <c r="VBI50" s="159"/>
      <c r="VBJ50" s="159"/>
      <c r="VBK50" s="159"/>
      <c r="VBL50" s="159"/>
      <c r="VBM50" s="159"/>
      <c r="VBN50" s="159"/>
      <c r="VBO50" s="159"/>
      <c r="VBP50" s="159"/>
      <c r="VBQ50" s="159"/>
      <c r="VBR50" s="159"/>
      <c r="VBS50" s="159"/>
      <c r="VBT50" s="159"/>
      <c r="VBU50" s="159"/>
      <c r="VBV50" s="159"/>
      <c r="VBW50" s="159"/>
      <c r="VBX50" s="159"/>
      <c r="VBY50" s="159"/>
      <c r="VBZ50" s="159"/>
      <c r="VCA50" s="159"/>
      <c r="VCB50" s="159"/>
      <c r="VCC50" s="159"/>
      <c r="VCD50" s="159"/>
      <c r="VCE50" s="159"/>
      <c r="VCF50" s="159"/>
      <c r="VCG50" s="159"/>
      <c r="VCH50" s="159"/>
      <c r="VCI50" s="159"/>
      <c r="VCJ50" s="159"/>
      <c r="VCK50" s="159"/>
      <c r="VCL50" s="159"/>
      <c r="VCM50" s="159"/>
      <c r="VCN50" s="159"/>
      <c r="VCO50" s="159"/>
      <c r="VCP50" s="159"/>
      <c r="VCQ50" s="159"/>
      <c r="VCR50" s="159"/>
      <c r="VCS50" s="159"/>
      <c r="VCT50" s="159"/>
      <c r="VCU50" s="159"/>
      <c r="VCV50" s="159"/>
      <c r="VCW50" s="159"/>
      <c r="VCX50" s="159"/>
      <c r="VCY50" s="159"/>
      <c r="VCZ50" s="159"/>
      <c r="VDA50" s="159"/>
      <c r="VDB50" s="159"/>
      <c r="VDC50" s="159"/>
      <c r="VDD50" s="159"/>
      <c r="VDE50" s="159"/>
      <c r="VDF50" s="159"/>
      <c r="VDG50" s="159"/>
      <c r="VDH50" s="159"/>
      <c r="VDI50" s="159"/>
      <c r="VDJ50" s="159"/>
      <c r="VDK50" s="159"/>
      <c r="VDL50" s="159"/>
      <c r="VDM50" s="159"/>
      <c r="VDN50" s="159"/>
      <c r="VDO50" s="159"/>
      <c r="VDP50" s="159"/>
      <c r="VDQ50" s="159"/>
      <c r="VDR50" s="159"/>
      <c r="VDS50" s="159"/>
      <c r="VDT50" s="159"/>
      <c r="VDU50" s="159"/>
      <c r="VDV50" s="159"/>
      <c r="VDW50" s="159"/>
      <c r="VDX50" s="159"/>
      <c r="VDY50" s="159"/>
      <c r="VDZ50" s="159"/>
      <c r="VEA50" s="159"/>
      <c r="VEB50" s="159"/>
      <c r="VEC50" s="159"/>
      <c r="VED50" s="159"/>
      <c r="VEE50" s="159"/>
      <c r="VEF50" s="159"/>
      <c r="VEG50" s="159"/>
      <c r="VEH50" s="159"/>
      <c r="VEI50" s="159"/>
      <c r="VEJ50" s="159"/>
      <c r="VEK50" s="159"/>
      <c r="VEL50" s="159"/>
      <c r="VEM50" s="159"/>
      <c r="VEN50" s="159"/>
      <c r="VEO50" s="159"/>
      <c r="VEP50" s="159"/>
      <c r="VEQ50" s="159"/>
      <c r="VER50" s="159"/>
      <c r="VES50" s="159"/>
      <c r="VET50" s="159"/>
      <c r="VEU50" s="159"/>
      <c r="VEV50" s="159"/>
      <c r="VEW50" s="159"/>
      <c r="VEX50" s="159"/>
      <c r="VEY50" s="159"/>
      <c r="VEZ50" s="159"/>
      <c r="VFA50" s="159"/>
      <c r="VFB50" s="159"/>
      <c r="VFC50" s="159"/>
      <c r="VFD50" s="159"/>
      <c r="VFE50" s="159"/>
      <c r="VFF50" s="159"/>
      <c r="VFG50" s="159"/>
      <c r="VFH50" s="159"/>
      <c r="VFI50" s="159"/>
      <c r="VFJ50" s="159"/>
      <c r="VFK50" s="159"/>
      <c r="VFL50" s="159"/>
      <c r="VFM50" s="159"/>
      <c r="VFN50" s="159"/>
      <c r="VFO50" s="159"/>
      <c r="VFP50" s="159"/>
      <c r="VFQ50" s="159"/>
      <c r="VFR50" s="159"/>
      <c r="VFS50" s="159"/>
      <c r="VFT50" s="159"/>
      <c r="VFU50" s="159"/>
      <c r="VFV50" s="159"/>
      <c r="VFW50" s="159"/>
      <c r="VFX50" s="159"/>
      <c r="VFY50" s="159"/>
      <c r="VFZ50" s="159"/>
      <c r="VGA50" s="159"/>
      <c r="VGB50" s="159"/>
      <c r="VGC50" s="159"/>
      <c r="VGD50" s="159"/>
      <c r="VGE50" s="159"/>
      <c r="VGF50" s="159"/>
      <c r="VGG50" s="159"/>
      <c r="VGH50" s="159"/>
      <c r="VGI50" s="159"/>
      <c r="VGJ50" s="159"/>
      <c r="VGK50" s="159"/>
      <c r="VGL50" s="159"/>
      <c r="VGM50" s="159"/>
      <c r="VGN50" s="159"/>
      <c r="VGO50" s="159"/>
      <c r="VGP50" s="159"/>
      <c r="VGQ50" s="159"/>
      <c r="VGR50" s="159"/>
      <c r="VGS50" s="159"/>
      <c r="VGT50" s="159"/>
      <c r="VGU50" s="159"/>
      <c r="VGV50" s="159"/>
      <c r="VGW50" s="159"/>
      <c r="VGX50" s="159"/>
      <c r="VGY50" s="159"/>
      <c r="VGZ50" s="159"/>
      <c r="VHA50" s="159"/>
      <c r="VHB50" s="159"/>
      <c r="VHC50" s="159"/>
      <c r="VHD50" s="159"/>
      <c r="VHE50" s="159"/>
      <c r="VHF50" s="159"/>
      <c r="VHG50" s="159"/>
      <c r="VHH50" s="159"/>
      <c r="VHI50" s="159"/>
      <c r="VHJ50" s="159"/>
      <c r="VHK50" s="159"/>
      <c r="VHL50" s="159"/>
      <c r="VHM50" s="159"/>
      <c r="VHN50" s="159"/>
      <c r="VHO50" s="159"/>
      <c r="VHP50" s="159"/>
      <c r="VHQ50" s="159"/>
      <c r="VHR50" s="159"/>
      <c r="VHS50" s="159"/>
      <c r="VHT50" s="159"/>
      <c r="VHU50" s="159"/>
      <c r="VHV50" s="159"/>
      <c r="VHW50" s="159"/>
      <c r="VHX50" s="159"/>
      <c r="VHY50" s="159"/>
      <c r="VHZ50" s="159"/>
      <c r="VIA50" s="159"/>
      <c r="VIB50" s="159"/>
      <c r="VIC50" s="159"/>
      <c r="VID50" s="159"/>
      <c r="VIE50" s="159"/>
      <c r="VIF50" s="159"/>
      <c r="VIG50" s="159"/>
      <c r="VIH50" s="159"/>
      <c r="VII50" s="159"/>
      <c r="VIJ50" s="159"/>
      <c r="VIK50" s="159"/>
      <c r="VIL50" s="159"/>
      <c r="VIM50" s="159"/>
      <c r="VIN50" s="159"/>
      <c r="VIO50" s="159"/>
      <c r="VIP50" s="159"/>
      <c r="VIQ50" s="159"/>
      <c r="VIR50" s="159"/>
      <c r="VIS50" s="159"/>
      <c r="VIT50" s="159"/>
      <c r="VIU50" s="159"/>
      <c r="VIV50" s="159"/>
      <c r="VIW50" s="159"/>
      <c r="VIX50" s="159"/>
      <c r="VIY50" s="159"/>
      <c r="VIZ50" s="159"/>
      <c r="VJA50" s="159"/>
      <c r="VJB50" s="159"/>
      <c r="VJC50" s="159"/>
      <c r="VJD50" s="159"/>
      <c r="VJE50" s="159"/>
      <c r="VJF50" s="159"/>
      <c r="VJG50" s="159"/>
      <c r="VJH50" s="159"/>
      <c r="VJI50" s="159"/>
      <c r="VJJ50" s="159"/>
      <c r="VJK50" s="159"/>
      <c r="VJL50" s="159"/>
      <c r="VJM50" s="159"/>
      <c r="VJN50" s="159"/>
      <c r="VJO50" s="159"/>
      <c r="VJP50" s="159"/>
      <c r="VJQ50" s="159"/>
      <c r="VJR50" s="159"/>
      <c r="VJS50" s="159"/>
      <c r="VJT50" s="159"/>
      <c r="VJU50" s="159"/>
      <c r="VJV50" s="159"/>
      <c r="VJW50" s="159"/>
      <c r="VJX50" s="159"/>
      <c r="VJY50" s="159"/>
      <c r="VJZ50" s="159"/>
      <c r="VKA50" s="159"/>
      <c r="VKB50" s="159"/>
      <c r="VKC50" s="159"/>
      <c r="VKD50" s="159"/>
      <c r="VKE50" s="159"/>
      <c r="VKF50" s="159"/>
      <c r="VKG50" s="159"/>
      <c r="VKH50" s="159"/>
      <c r="VKI50" s="159"/>
      <c r="VKJ50" s="159"/>
      <c r="VKK50" s="159"/>
      <c r="VKL50" s="159"/>
      <c r="VKM50" s="159"/>
      <c r="VKN50" s="159"/>
      <c r="VKO50" s="159"/>
      <c r="VKP50" s="159"/>
      <c r="VKQ50" s="159"/>
      <c r="VKR50" s="159"/>
      <c r="VKS50" s="159"/>
      <c r="VKT50" s="159"/>
      <c r="VKU50" s="159"/>
      <c r="VKV50" s="159"/>
      <c r="VKW50" s="159"/>
      <c r="VKX50" s="159"/>
      <c r="VKY50" s="159"/>
      <c r="VKZ50" s="159"/>
      <c r="VLA50" s="159"/>
      <c r="VLB50" s="159"/>
      <c r="VLC50" s="159"/>
      <c r="VLD50" s="159"/>
      <c r="VLE50" s="159"/>
      <c r="VLF50" s="159"/>
      <c r="VLG50" s="159"/>
      <c r="VLH50" s="159"/>
      <c r="VLI50" s="159"/>
      <c r="VLJ50" s="159"/>
      <c r="VLK50" s="159"/>
      <c r="VLL50" s="159"/>
      <c r="VLM50" s="159"/>
      <c r="VLN50" s="159"/>
      <c r="VLO50" s="159"/>
      <c r="VLP50" s="159"/>
      <c r="VLQ50" s="159"/>
      <c r="VLR50" s="159"/>
      <c r="VLS50" s="159"/>
      <c r="VLT50" s="159"/>
      <c r="VLU50" s="159"/>
      <c r="VLV50" s="159"/>
      <c r="VLW50" s="159"/>
      <c r="VLX50" s="159"/>
      <c r="VLY50" s="159"/>
      <c r="VLZ50" s="159"/>
      <c r="VMA50" s="159"/>
      <c r="VMB50" s="159"/>
      <c r="VMC50" s="159"/>
      <c r="VMD50" s="159"/>
      <c r="VME50" s="159"/>
      <c r="VMF50" s="159"/>
      <c r="VMG50" s="159"/>
      <c r="VMH50" s="159"/>
      <c r="VMI50" s="159"/>
      <c r="VMJ50" s="159"/>
      <c r="VMK50" s="159"/>
      <c r="VML50" s="159"/>
      <c r="VMM50" s="159"/>
      <c r="VMN50" s="159"/>
      <c r="VMO50" s="159"/>
      <c r="VMP50" s="159"/>
      <c r="VMQ50" s="159"/>
      <c r="VMR50" s="159"/>
      <c r="VMS50" s="159"/>
      <c r="VMT50" s="159"/>
      <c r="VMU50" s="159"/>
      <c r="VMV50" s="159"/>
      <c r="VMW50" s="159"/>
      <c r="VMX50" s="159"/>
      <c r="VMY50" s="159"/>
      <c r="VMZ50" s="159"/>
      <c r="VNA50" s="159"/>
      <c r="VNB50" s="159"/>
      <c r="VNC50" s="159"/>
      <c r="VND50" s="159"/>
      <c r="VNE50" s="159"/>
      <c r="VNF50" s="159"/>
      <c r="VNG50" s="159"/>
      <c r="VNH50" s="159"/>
      <c r="VNI50" s="159"/>
      <c r="VNJ50" s="159"/>
      <c r="VNK50" s="159"/>
      <c r="VNL50" s="159"/>
      <c r="VNM50" s="159"/>
      <c r="VNN50" s="159"/>
      <c r="VNO50" s="159"/>
      <c r="VNP50" s="159"/>
      <c r="VNQ50" s="159"/>
      <c r="VNR50" s="159"/>
      <c r="VNS50" s="159"/>
      <c r="VNT50" s="159"/>
      <c r="VNU50" s="159"/>
      <c r="VNV50" s="159"/>
      <c r="VNW50" s="159"/>
      <c r="VNX50" s="159"/>
      <c r="VNY50" s="159"/>
      <c r="VNZ50" s="159"/>
      <c r="VOA50" s="159"/>
      <c r="VOB50" s="159"/>
      <c r="VOC50" s="159"/>
      <c r="VOD50" s="159"/>
      <c r="VOE50" s="159"/>
      <c r="VOF50" s="159"/>
      <c r="VOG50" s="159"/>
      <c r="VOH50" s="159"/>
      <c r="VOI50" s="159"/>
      <c r="VOJ50" s="159"/>
      <c r="VOK50" s="159"/>
      <c r="VOL50" s="159"/>
      <c r="VOM50" s="159"/>
      <c r="VON50" s="159"/>
      <c r="VOO50" s="159"/>
      <c r="VOP50" s="159"/>
      <c r="VOQ50" s="159"/>
      <c r="VOR50" s="159"/>
      <c r="VOS50" s="159"/>
      <c r="VOT50" s="159"/>
      <c r="VOU50" s="159"/>
      <c r="VOV50" s="159"/>
      <c r="VOW50" s="159"/>
      <c r="VOX50" s="159"/>
      <c r="VOY50" s="159"/>
      <c r="VOZ50" s="159"/>
      <c r="VPA50" s="159"/>
      <c r="VPB50" s="159"/>
      <c r="VPC50" s="159"/>
      <c r="VPD50" s="159"/>
      <c r="VPE50" s="159"/>
      <c r="VPF50" s="159"/>
      <c r="VPG50" s="159"/>
      <c r="VPH50" s="159"/>
      <c r="VPI50" s="159"/>
      <c r="VPJ50" s="159"/>
      <c r="VPK50" s="159"/>
      <c r="VPL50" s="159"/>
      <c r="VPM50" s="159"/>
      <c r="VPN50" s="159"/>
      <c r="VPO50" s="159"/>
      <c r="VPP50" s="159"/>
      <c r="VPQ50" s="159"/>
      <c r="VPR50" s="159"/>
      <c r="VPS50" s="159"/>
      <c r="VPT50" s="159"/>
      <c r="VPU50" s="159"/>
      <c r="VPV50" s="159"/>
      <c r="VPW50" s="159"/>
      <c r="VPX50" s="159"/>
      <c r="VPY50" s="159"/>
      <c r="VPZ50" s="159"/>
      <c r="VQA50" s="159"/>
      <c r="VQB50" s="159"/>
      <c r="VQC50" s="159"/>
      <c r="VQD50" s="159"/>
      <c r="VQE50" s="159"/>
      <c r="VQF50" s="159"/>
      <c r="VQG50" s="159"/>
      <c r="VQH50" s="159"/>
      <c r="VQI50" s="159"/>
      <c r="VQJ50" s="159"/>
      <c r="VQK50" s="159"/>
      <c r="VQL50" s="159"/>
      <c r="VQM50" s="159"/>
      <c r="VQN50" s="159"/>
      <c r="VQO50" s="159"/>
      <c r="VQP50" s="159"/>
      <c r="VQQ50" s="159"/>
      <c r="VQR50" s="159"/>
      <c r="VQS50" s="159"/>
      <c r="VQT50" s="159"/>
      <c r="VQU50" s="159"/>
      <c r="VQV50" s="159"/>
      <c r="VQW50" s="159"/>
      <c r="VQX50" s="159"/>
      <c r="VQY50" s="159"/>
      <c r="VQZ50" s="159"/>
      <c r="VRA50" s="159"/>
      <c r="VRB50" s="159"/>
      <c r="VRC50" s="159"/>
      <c r="VRD50" s="159"/>
      <c r="VRE50" s="159"/>
      <c r="VRF50" s="159"/>
      <c r="VRG50" s="159"/>
      <c r="VRH50" s="159"/>
      <c r="VRI50" s="159"/>
      <c r="VRJ50" s="159"/>
      <c r="VRK50" s="159"/>
      <c r="VRL50" s="159"/>
      <c r="VRM50" s="159"/>
      <c r="VRN50" s="159"/>
      <c r="VRO50" s="159"/>
      <c r="VRP50" s="159"/>
      <c r="VRQ50" s="159"/>
      <c r="VRR50" s="159"/>
      <c r="VRS50" s="159"/>
      <c r="VRT50" s="159"/>
      <c r="VRU50" s="159"/>
      <c r="VRV50" s="159"/>
      <c r="VRW50" s="159"/>
      <c r="VRX50" s="159"/>
      <c r="VRY50" s="159"/>
      <c r="VRZ50" s="159"/>
      <c r="VSA50" s="159"/>
      <c r="VSB50" s="159"/>
      <c r="VSC50" s="159"/>
      <c r="VSD50" s="159"/>
      <c r="VSE50" s="159"/>
      <c r="VSF50" s="159"/>
      <c r="VSG50" s="159"/>
      <c r="VSH50" s="159"/>
      <c r="VSI50" s="159"/>
      <c r="VSJ50" s="159"/>
      <c r="VSK50" s="159"/>
      <c r="VSL50" s="159"/>
      <c r="VSM50" s="159"/>
      <c r="VSN50" s="159"/>
      <c r="VSO50" s="159"/>
      <c r="VSP50" s="159"/>
      <c r="VSQ50" s="159"/>
      <c r="VSR50" s="159"/>
      <c r="VSS50" s="159"/>
      <c r="VST50" s="159"/>
      <c r="VSU50" s="159"/>
      <c r="VSV50" s="159"/>
      <c r="VSW50" s="159"/>
      <c r="VSX50" s="159"/>
      <c r="VSY50" s="159"/>
      <c r="VSZ50" s="159"/>
      <c r="VTA50" s="159"/>
      <c r="VTB50" s="159"/>
      <c r="VTC50" s="159"/>
      <c r="VTD50" s="159"/>
      <c r="VTE50" s="159"/>
      <c r="VTF50" s="159"/>
      <c r="VTG50" s="159"/>
      <c r="VTH50" s="159"/>
      <c r="VTI50" s="159"/>
      <c r="VTJ50" s="159"/>
      <c r="VTK50" s="159"/>
      <c r="VTL50" s="159"/>
      <c r="VTM50" s="159"/>
      <c r="VTN50" s="159"/>
      <c r="VTO50" s="159"/>
      <c r="VTP50" s="159"/>
      <c r="VTQ50" s="159"/>
      <c r="VTR50" s="159"/>
      <c r="VTS50" s="159"/>
      <c r="VTT50" s="159"/>
      <c r="VTU50" s="159"/>
      <c r="VTV50" s="159"/>
      <c r="VTW50" s="159"/>
      <c r="VTX50" s="159"/>
      <c r="VTY50" s="159"/>
      <c r="VTZ50" s="159"/>
      <c r="VUA50" s="159"/>
      <c r="VUB50" s="159"/>
      <c r="VUC50" s="159"/>
      <c r="VUD50" s="159"/>
      <c r="VUE50" s="159"/>
      <c r="VUF50" s="159"/>
      <c r="VUG50" s="159"/>
      <c r="VUH50" s="159"/>
      <c r="VUI50" s="159"/>
      <c r="VUJ50" s="159"/>
      <c r="VUK50" s="159"/>
      <c r="VUL50" s="159"/>
      <c r="VUM50" s="159"/>
      <c r="VUN50" s="159"/>
      <c r="VUO50" s="159"/>
      <c r="VUP50" s="159"/>
      <c r="VUQ50" s="159"/>
      <c r="VUR50" s="159"/>
      <c r="VUS50" s="159"/>
      <c r="VUT50" s="159"/>
      <c r="VUU50" s="159"/>
      <c r="VUV50" s="159"/>
      <c r="VUW50" s="159"/>
      <c r="VUX50" s="159"/>
      <c r="VUY50" s="159"/>
      <c r="VUZ50" s="159"/>
      <c r="VVA50" s="159"/>
      <c r="VVB50" s="159"/>
      <c r="VVC50" s="159"/>
      <c r="VVD50" s="159"/>
      <c r="VVE50" s="159"/>
      <c r="VVF50" s="159"/>
      <c r="VVG50" s="159"/>
      <c r="VVH50" s="159"/>
      <c r="VVI50" s="159"/>
      <c r="VVJ50" s="159"/>
      <c r="VVK50" s="159"/>
      <c r="VVL50" s="159"/>
      <c r="VVM50" s="159"/>
      <c r="VVN50" s="159"/>
      <c r="VVO50" s="159"/>
      <c r="VVP50" s="159"/>
      <c r="VVQ50" s="159"/>
      <c r="VVR50" s="159"/>
      <c r="VVS50" s="159"/>
      <c r="VVT50" s="159"/>
      <c r="VVU50" s="159"/>
      <c r="VVV50" s="159"/>
      <c r="VVW50" s="159"/>
      <c r="VVX50" s="159"/>
      <c r="VVY50" s="159"/>
      <c r="VVZ50" s="159"/>
      <c r="VWA50" s="159"/>
      <c r="VWB50" s="159"/>
      <c r="VWC50" s="159"/>
      <c r="VWD50" s="159"/>
      <c r="VWE50" s="159"/>
      <c r="VWF50" s="159"/>
      <c r="VWG50" s="159"/>
      <c r="VWH50" s="159"/>
      <c r="VWI50" s="159"/>
      <c r="VWJ50" s="159"/>
      <c r="VWK50" s="159"/>
      <c r="VWL50" s="159"/>
      <c r="VWM50" s="159"/>
      <c r="VWN50" s="159"/>
      <c r="VWO50" s="159"/>
      <c r="VWP50" s="159"/>
      <c r="VWQ50" s="159"/>
      <c r="VWR50" s="159"/>
      <c r="VWS50" s="159"/>
      <c r="VWT50" s="159"/>
      <c r="VWU50" s="159"/>
      <c r="VWV50" s="159"/>
      <c r="VWW50" s="159"/>
      <c r="VWX50" s="159"/>
      <c r="VWY50" s="159"/>
      <c r="VWZ50" s="159"/>
      <c r="VXA50" s="159"/>
      <c r="VXB50" s="159"/>
      <c r="VXC50" s="159"/>
      <c r="VXD50" s="159"/>
      <c r="VXE50" s="159"/>
      <c r="VXF50" s="159"/>
      <c r="VXG50" s="159"/>
      <c r="VXH50" s="159"/>
      <c r="VXI50" s="159"/>
      <c r="VXJ50" s="159"/>
      <c r="VXK50" s="159"/>
      <c r="VXL50" s="159"/>
      <c r="VXM50" s="159"/>
      <c r="VXN50" s="159"/>
      <c r="VXO50" s="159"/>
      <c r="VXP50" s="159"/>
      <c r="VXQ50" s="159"/>
      <c r="VXR50" s="159"/>
      <c r="VXS50" s="159"/>
      <c r="VXT50" s="159"/>
      <c r="VXU50" s="159"/>
      <c r="VXV50" s="159"/>
      <c r="VXW50" s="159"/>
      <c r="VXX50" s="159"/>
      <c r="VXY50" s="159"/>
      <c r="VXZ50" s="159"/>
      <c r="VYA50" s="159"/>
      <c r="VYB50" s="159"/>
      <c r="VYC50" s="159"/>
      <c r="VYD50" s="159"/>
      <c r="VYE50" s="159"/>
      <c r="VYF50" s="159"/>
      <c r="VYG50" s="159"/>
      <c r="VYH50" s="159"/>
      <c r="VYI50" s="159"/>
      <c r="VYJ50" s="159"/>
      <c r="VYK50" s="159"/>
      <c r="VYL50" s="159"/>
      <c r="VYM50" s="159"/>
      <c r="VYN50" s="159"/>
      <c r="VYO50" s="159"/>
      <c r="VYP50" s="159"/>
      <c r="VYQ50" s="159"/>
      <c r="VYR50" s="159"/>
      <c r="VYS50" s="159"/>
      <c r="VYT50" s="159"/>
      <c r="VYU50" s="159"/>
      <c r="VYV50" s="159"/>
      <c r="VYW50" s="159"/>
      <c r="VYX50" s="159"/>
      <c r="VYY50" s="159"/>
      <c r="VYZ50" s="159"/>
      <c r="VZA50" s="159"/>
      <c r="VZB50" s="159"/>
      <c r="VZC50" s="159"/>
      <c r="VZD50" s="159"/>
      <c r="VZE50" s="159"/>
      <c r="VZF50" s="159"/>
      <c r="VZG50" s="159"/>
      <c r="VZH50" s="159"/>
      <c r="VZI50" s="159"/>
      <c r="VZJ50" s="159"/>
      <c r="VZK50" s="159"/>
      <c r="VZL50" s="159"/>
      <c r="VZM50" s="159"/>
      <c r="VZN50" s="159"/>
      <c r="VZO50" s="159"/>
      <c r="VZP50" s="159"/>
      <c r="VZQ50" s="159"/>
      <c r="VZR50" s="159"/>
      <c r="VZS50" s="159"/>
      <c r="VZT50" s="159"/>
      <c r="VZU50" s="159"/>
      <c r="VZV50" s="159"/>
      <c r="VZW50" s="159"/>
      <c r="VZX50" s="159"/>
      <c r="VZY50" s="159"/>
      <c r="VZZ50" s="159"/>
      <c r="WAA50" s="159"/>
      <c r="WAB50" s="159"/>
      <c r="WAC50" s="159"/>
      <c r="WAD50" s="159"/>
      <c r="WAE50" s="159"/>
      <c r="WAF50" s="159"/>
      <c r="WAG50" s="159"/>
      <c r="WAH50" s="159"/>
      <c r="WAI50" s="159"/>
      <c r="WAJ50" s="159"/>
      <c r="WAK50" s="159"/>
      <c r="WAL50" s="159"/>
      <c r="WAM50" s="159"/>
      <c r="WAN50" s="159"/>
      <c r="WAO50" s="159"/>
      <c r="WAP50" s="159"/>
      <c r="WAQ50" s="159"/>
      <c r="WAR50" s="159"/>
      <c r="WAS50" s="159"/>
      <c r="WAT50" s="159"/>
      <c r="WAU50" s="159"/>
      <c r="WAV50" s="159"/>
      <c r="WAW50" s="159"/>
      <c r="WAX50" s="159"/>
      <c r="WAY50" s="159"/>
      <c r="WAZ50" s="159"/>
      <c r="WBA50" s="159"/>
      <c r="WBB50" s="159"/>
      <c r="WBC50" s="159"/>
      <c r="WBD50" s="159"/>
      <c r="WBE50" s="159"/>
      <c r="WBF50" s="159"/>
      <c r="WBG50" s="159"/>
      <c r="WBH50" s="159"/>
      <c r="WBI50" s="159"/>
      <c r="WBJ50" s="159"/>
      <c r="WBK50" s="159"/>
      <c r="WBL50" s="159"/>
      <c r="WBM50" s="159"/>
      <c r="WBN50" s="159"/>
      <c r="WBO50" s="159"/>
      <c r="WBP50" s="159"/>
      <c r="WBQ50" s="159"/>
      <c r="WBR50" s="159"/>
      <c r="WBS50" s="159"/>
      <c r="WBT50" s="159"/>
      <c r="WBU50" s="159"/>
      <c r="WBV50" s="159"/>
      <c r="WBW50" s="159"/>
      <c r="WBX50" s="159"/>
      <c r="WBY50" s="159"/>
      <c r="WBZ50" s="159"/>
      <c r="WCA50" s="159"/>
      <c r="WCB50" s="159"/>
      <c r="WCC50" s="159"/>
      <c r="WCD50" s="159"/>
      <c r="WCE50" s="159"/>
      <c r="WCF50" s="159"/>
      <c r="WCG50" s="159"/>
      <c r="WCH50" s="159"/>
      <c r="WCI50" s="159"/>
      <c r="WCJ50" s="159"/>
      <c r="WCK50" s="159"/>
      <c r="WCL50" s="159"/>
      <c r="WCM50" s="159"/>
      <c r="WCN50" s="159"/>
      <c r="WCO50" s="159"/>
      <c r="WCP50" s="159"/>
      <c r="WCQ50" s="159"/>
      <c r="WCR50" s="159"/>
      <c r="WCS50" s="159"/>
      <c r="WCT50" s="159"/>
      <c r="WCU50" s="159"/>
      <c r="WCV50" s="159"/>
      <c r="WCW50" s="159"/>
      <c r="WCX50" s="159"/>
      <c r="WCY50" s="159"/>
      <c r="WCZ50" s="159"/>
      <c r="WDA50" s="159"/>
      <c r="WDB50" s="159"/>
      <c r="WDC50" s="159"/>
      <c r="WDD50" s="159"/>
      <c r="WDE50" s="159"/>
      <c r="WDF50" s="159"/>
      <c r="WDG50" s="159"/>
      <c r="WDH50" s="159"/>
      <c r="WDI50" s="159"/>
      <c r="WDJ50" s="159"/>
      <c r="WDK50" s="159"/>
      <c r="WDL50" s="159"/>
      <c r="WDM50" s="159"/>
      <c r="WDN50" s="159"/>
      <c r="WDO50" s="159"/>
      <c r="WDP50" s="159"/>
      <c r="WDQ50" s="159"/>
      <c r="WDR50" s="159"/>
      <c r="WDS50" s="159"/>
      <c r="WDT50" s="159"/>
      <c r="WDU50" s="159"/>
      <c r="WDV50" s="159"/>
      <c r="WDW50" s="159"/>
      <c r="WDX50" s="159"/>
      <c r="WDY50" s="159"/>
      <c r="WDZ50" s="159"/>
      <c r="WEA50" s="159"/>
      <c r="WEB50" s="159"/>
      <c r="WEC50" s="159"/>
      <c r="WED50" s="159"/>
      <c r="WEE50" s="159"/>
      <c r="WEF50" s="159"/>
      <c r="WEG50" s="159"/>
      <c r="WEH50" s="159"/>
      <c r="WEI50" s="159"/>
      <c r="WEJ50" s="159"/>
      <c r="WEK50" s="159"/>
      <c r="WEL50" s="159"/>
      <c r="WEM50" s="159"/>
      <c r="WEN50" s="159"/>
      <c r="WEO50" s="159"/>
      <c r="WEP50" s="159"/>
      <c r="WEQ50" s="159"/>
      <c r="WER50" s="159"/>
      <c r="WES50" s="159"/>
      <c r="WET50" s="159"/>
      <c r="WEU50" s="159"/>
      <c r="WEV50" s="159"/>
      <c r="WEW50" s="159"/>
      <c r="WEX50" s="159"/>
      <c r="WEY50" s="159"/>
      <c r="WEZ50" s="159"/>
      <c r="WFA50" s="159"/>
      <c r="WFB50" s="159"/>
      <c r="WFC50" s="159"/>
      <c r="WFD50" s="159"/>
      <c r="WFE50" s="159"/>
      <c r="WFF50" s="159"/>
      <c r="WFG50" s="159"/>
      <c r="WFH50" s="159"/>
      <c r="WFI50" s="159"/>
      <c r="WFJ50" s="159"/>
      <c r="WFK50" s="159"/>
      <c r="WFL50" s="159"/>
      <c r="WFM50" s="159"/>
      <c r="WFN50" s="159"/>
      <c r="WFO50" s="159"/>
      <c r="WFP50" s="159"/>
      <c r="WFQ50" s="159"/>
      <c r="WFR50" s="159"/>
      <c r="WFS50" s="159"/>
      <c r="WFT50" s="159"/>
      <c r="WFU50" s="159"/>
      <c r="WFV50" s="159"/>
      <c r="WFW50" s="159"/>
      <c r="WFX50" s="159"/>
      <c r="WFY50" s="159"/>
      <c r="WFZ50" s="159"/>
      <c r="WGA50" s="159"/>
      <c r="WGB50" s="159"/>
      <c r="WGC50" s="159"/>
      <c r="WGD50" s="159"/>
      <c r="WGE50" s="159"/>
      <c r="WGF50" s="159"/>
      <c r="WGG50" s="159"/>
      <c r="WGH50" s="159"/>
      <c r="WGI50" s="159"/>
      <c r="WGJ50" s="159"/>
      <c r="WGK50" s="159"/>
      <c r="WGL50" s="159"/>
      <c r="WGM50" s="159"/>
      <c r="WGN50" s="159"/>
      <c r="WGO50" s="159"/>
      <c r="WGP50" s="159"/>
      <c r="WGQ50" s="159"/>
      <c r="WGR50" s="159"/>
      <c r="WGS50" s="159"/>
      <c r="WGT50" s="159"/>
      <c r="WGU50" s="159"/>
      <c r="WGV50" s="159"/>
      <c r="WGW50" s="159"/>
      <c r="WGX50" s="159"/>
      <c r="WGY50" s="159"/>
      <c r="WGZ50" s="159"/>
      <c r="WHA50" s="159"/>
      <c r="WHB50" s="159"/>
      <c r="WHC50" s="159"/>
      <c r="WHD50" s="159"/>
      <c r="WHE50" s="159"/>
      <c r="WHF50" s="159"/>
      <c r="WHG50" s="159"/>
      <c r="WHH50" s="159"/>
      <c r="WHI50" s="159"/>
      <c r="WHJ50" s="159"/>
      <c r="WHK50" s="159"/>
      <c r="WHL50" s="159"/>
      <c r="WHM50" s="159"/>
      <c r="WHN50" s="159"/>
      <c r="WHO50" s="159"/>
      <c r="WHP50" s="159"/>
      <c r="WHQ50" s="159"/>
      <c r="WHR50" s="159"/>
      <c r="WHS50" s="159"/>
      <c r="WHT50" s="159"/>
      <c r="WHU50" s="159"/>
      <c r="WHV50" s="159"/>
      <c r="WHW50" s="159"/>
      <c r="WHX50" s="159"/>
      <c r="WHY50" s="159"/>
      <c r="WHZ50" s="159"/>
      <c r="WIA50" s="159"/>
      <c r="WIB50" s="159"/>
      <c r="WIC50" s="159"/>
      <c r="WID50" s="159"/>
      <c r="WIE50" s="159"/>
      <c r="WIF50" s="159"/>
      <c r="WIG50" s="159"/>
      <c r="WIH50" s="159"/>
      <c r="WII50" s="159"/>
      <c r="WIJ50" s="159"/>
      <c r="WIK50" s="159"/>
      <c r="WIL50" s="159"/>
      <c r="WIM50" s="159"/>
      <c r="WIN50" s="159"/>
      <c r="WIO50" s="159"/>
      <c r="WIP50" s="159"/>
      <c r="WIQ50" s="159"/>
      <c r="WIR50" s="159"/>
      <c r="WIS50" s="159"/>
      <c r="WIT50" s="159"/>
      <c r="WIU50" s="159"/>
      <c r="WIV50" s="159"/>
      <c r="WIW50" s="159"/>
      <c r="WIX50" s="159"/>
      <c r="WIY50" s="159"/>
      <c r="WIZ50" s="159"/>
      <c r="WJA50" s="159"/>
      <c r="WJB50" s="159"/>
      <c r="WJC50" s="159"/>
      <c r="WJD50" s="159"/>
      <c r="WJE50" s="159"/>
      <c r="WJF50" s="159"/>
      <c r="WJG50" s="159"/>
      <c r="WJH50" s="159"/>
      <c r="WJI50" s="159"/>
      <c r="WJJ50" s="159"/>
      <c r="WJK50" s="159"/>
      <c r="WJL50" s="159"/>
      <c r="WJM50" s="159"/>
      <c r="WJN50" s="159"/>
      <c r="WJO50" s="159"/>
      <c r="WJP50" s="159"/>
      <c r="WJQ50" s="159"/>
      <c r="WJR50" s="159"/>
      <c r="WJS50" s="159"/>
      <c r="WJT50" s="159"/>
      <c r="WJU50" s="159"/>
      <c r="WJV50" s="159"/>
      <c r="WJW50" s="159"/>
      <c r="WJX50" s="159"/>
      <c r="WJY50" s="159"/>
      <c r="WJZ50" s="159"/>
      <c r="WKA50" s="159"/>
      <c r="WKB50" s="159"/>
      <c r="WKC50" s="159"/>
      <c r="WKD50" s="159"/>
      <c r="WKE50" s="159"/>
      <c r="WKF50" s="159"/>
      <c r="WKG50" s="159"/>
      <c r="WKH50" s="159"/>
      <c r="WKI50" s="159"/>
      <c r="WKJ50" s="159"/>
      <c r="WKK50" s="159"/>
      <c r="WKL50" s="159"/>
      <c r="WKM50" s="159"/>
      <c r="WKN50" s="159"/>
      <c r="WKO50" s="159"/>
      <c r="WKP50" s="159"/>
      <c r="WKQ50" s="159"/>
      <c r="WKR50" s="159"/>
      <c r="WKS50" s="159"/>
      <c r="WKT50" s="159"/>
      <c r="WKU50" s="159"/>
      <c r="WKV50" s="159"/>
      <c r="WKW50" s="159"/>
      <c r="WKX50" s="159"/>
      <c r="WKY50" s="159"/>
      <c r="WKZ50" s="159"/>
      <c r="WLA50" s="159"/>
      <c r="WLB50" s="159"/>
      <c r="WLC50" s="159"/>
      <c r="WLD50" s="159"/>
      <c r="WLE50" s="159"/>
      <c r="WLF50" s="159"/>
      <c r="WLG50" s="159"/>
      <c r="WLH50" s="159"/>
      <c r="WLI50" s="159"/>
      <c r="WLJ50" s="159"/>
      <c r="WLK50" s="159"/>
      <c r="WLL50" s="159"/>
      <c r="WLM50" s="159"/>
      <c r="WLN50" s="159"/>
      <c r="WLO50" s="159"/>
      <c r="WLP50" s="159"/>
      <c r="WLQ50" s="159"/>
      <c r="WLR50" s="159"/>
      <c r="WLS50" s="159"/>
      <c r="WLT50" s="159"/>
      <c r="WLU50" s="159"/>
      <c r="WLV50" s="159"/>
      <c r="WLW50" s="159"/>
      <c r="WLX50" s="159"/>
      <c r="WLY50" s="159"/>
      <c r="WLZ50" s="159"/>
      <c r="WMA50" s="159"/>
      <c r="WMB50" s="159"/>
      <c r="WMC50" s="159"/>
      <c r="WMD50" s="159"/>
      <c r="WME50" s="159"/>
      <c r="WMF50" s="159"/>
      <c r="WMG50" s="159"/>
      <c r="WMH50" s="159"/>
      <c r="WMI50" s="159"/>
      <c r="WMJ50" s="159"/>
      <c r="WMK50" s="159"/>
      <c r="WML50" s="159"/>
      <c r="WMM50" s="159"/>
      <c r="WMN50" s="159"/>
      <c r="WMO50" s="159"/>
      <c r="WMP50" s="159"/>
      <c r="WMQ50" s="159"/>
      <c r="WMR50" s="159"/>
      <c r="WMS50" s="159"/>
      <c r="WMT50" s="159"/>
      <c r="WMU50" s="159"/>
      <c r="WMV50" s="159"/>
      <c r="WMW50" s="159"/>
      <c r="WMX50" s="159"/>
      <c r="WMY50" s="159"/>
      <c r="WMZ50" s="159"/>
      <c r="WNA50" s="159"/>
      <c r="WNB50" s="159"/>
      <c r="WNC50" s="159"/>
      <c r="WND50" s="159"/>
      <c r="WNE50" s="159"/>
      <c r="WNF50" s="159"/>
      <c r="WNG50" s="159"/>
      <c r="WNH50" s="159"/>
      <c r="WNI50" s="159"/>
      <c r="WNJ50" s="159"/>
      <c r="WNK50" s="159"/>
      <c r="WNL50" s="159"/>
      <c r="WNM50" s="159"/>
      <c r="WNN50" s="159"/>
      <c r="WNO50" s="159"/>
      <c r="WNP50" s="159"/>
      <c r="WNQ50" s="159"/>
      <c r="WNR50" s="159"/>
      <c r="WNS50" s="159"/>
      <c r="WNT50" s="159"/>
      <c r="WNU50" s="159"/>
      <c r="WNV50" s="159"/>
      <c r="WNW50" s="159"/>
      <c r="WNX50" s="159"/>
      <c r="WNY50" s="159"/>
      <c r="WNZ50" s="159"/>
      <c r="WOA50" s="159"/>
      <c r="WOB50" s="159"/>
      <c r="WOC50" s="159"/>
      <c r="WOD50" s="159"/>
      <c r="WOE50" s="159"/>
      <c r="WOF50" s="159"/>
      <c r="WOG50" s="159"/>
      <c r="WOH50" s="159"/>
      <c r="WOI50" s="159"/>
      <c r="WOJ50" s="159"/>
      <c r="WOK50" s="159"/>
      <c r="WOL50" s="159"/>
      <c r="WOM50" s="159"/>
      <c r="WON50" s="159"/>
      <c r="WOO50" s="159"/>
      <c r="WOP50" s="159"/>
      <c r="WOQ50" s="159"/>
      <c r="WOR50" s="159"/>
      <c r="WOS50" s="159"/>
      <c r="WOT50" s="159"/>
      <c r="WOU50" s="159"/>
      <c r="WOV50" s="159"/>
      <c r="WOW50" s="159"/>
      <c r="WOX50" s="159"/>
      <c r="WOY50" s="159"/>
      <c r="WOZ50" s="159"/>
      <c r="WPA50" s="159"/>
      <c r="WPB50" s="159"/>
      <c r="WPC50" s="159"/>
      <c r="WPD50" s="159"/>
      <c r="WPE50" s="159"/>
      <c r="WPF50" s="159"/>
      <c r="WPG50" s="159"/>
      <c r="WPH50" s="159"/>
      <c r="WPI50" s="159"/>
      <c r="WPJ50" s="159"/>
      <c r="WPK50" s="159"/>
      <c r="WPL50" s="159"/>
      <c r="WPM50" s="159"/>
      <c r="WPN50" s="159"/>
      <c r="WPO50" s="159"/>
      <c r="WPP50" s="159"/>
      <c r="WPQ50" s="159"/>
      <c r="WPR50" s="159"/>
      <c r="WPS50" s="159"/>
      <c r="WPT50" s="159"/>
      <c r="WPU50" s="159"/>
      <c r="WPV50" s="159"/>
      <c r="WPW50" s="159"/>
      <c r="WPX50" s="159"/>
      <c r="WPY50" s="159"/>
      <c r="WPZ50" s="159"/>
      <c r="WQA50" s="159"/>
      <c r="WQB50" s="159"/>
      <c r="WQC50" s="159"/>
      <c r="WQD50" s="159"/>
      <c r="WQE50" s="159"/>
      <c r="WQF50" s="159"/>
      <c r="WQG50" s="159"/>
      <c r="WQH50" s="159"/>
      <c r="WQI50" s="159"/>
      <c r="WQJ50" s="159"/>
      <c r="WQK50" s="159"/>
      <c r="WQL50" s="159"/>
      <c r="WQM50" s="159"/>
      <c r="WQN50" s="159"/>
      <c r="WQO50" s="159"/>
      <c r="WQP50" s="159"/>
      <c r="WQQ50" s="159"/>
      <c r="WQR50" s="159"/>
      <c r="WQS50" s="159"/>
      <c r="WQT50" s="159"/>
      <c r="WQU50" s="159"/>
      <c r="WQV50" s="159"/>
      <c r="WQW50" s="159"/>
      <c r="WQX50" s="159"/>
      <c r="WQY50" s="159"/>
      <c r="WQZ50" s="159"/>
      <c r="WRA50" s="159"/>
      <c r="WRB50" s="159"/>
      <c r="WRC50" s="159"/>
      <c r="WRD50" s="159"/>
      <c r="WRE50" s="159"/>
      <c r="WRF50" s="159"/>
      <c r="WRG50" s="159"/>
      <c r="WRH50" s="159"/>
      <c r="WRI50" s="159"/>
      <c r="WRJ50" s="159"/>
      <c r="WRK50" s="159"/>
      <c r="WRL50" s="159"/>
      <c r="WRM50" s="159"/>
      <c r="WRN50" s="159"/>
      <c r="WRO50" s="159"/>
      <c r="WRP50" s="159"/>
      <c r="WRQ50" s="159"/>
      <c r="WRR50" s="159"/>
      <c r="WRS50" s="159"/>
      <c r="WRT50" s="159"/>
      <c r="WRU50" s="159"/>
      <c r="WRV50" s="159"/>
      <c r="WRW50" s="159"/>
      <c r="WRX50" s="159"/>
      <c r="WRY50" s="159"/>
      <c r="WRZ50" s="159"/>
      <c r="WSA50" s="159"/>
      <c r="WSB50" s="159"/>
      <c r="WSC50" s="159"/>
      <c r="WSD50" s="159"/>
      <c r="WSE50" s="159"/>
      <c r="WSF50" s="159"/>
      <c r="WSG50" s="159"/>
      <c r="WSH50" s="159"/>
      <c r="WSI50" s="159"/>
      <c r="WSJ50" s="159"/>
      <c r="WSK50" s="159"/>
      <c r="WSL50" s="159"/>
      <c r="WSM50" s="159"/>
      <c r="WSN50" s="159"/>
      <c r="WSO50" s="159"/>
      <c r="WSP50" s="159"/>
      <c r="WSQ50" s="159"/>
      <c r="WSR50" s="159"/>
      <c r="WSS50" s="159"/>
      <c r="WST50" s="159"/>
      <c r="WSU50" s="159"/>
      <c r="WSV50" s="159"/>
      <c r="WSW50" s="159"/>
      <c r="WSX50" s="159"/>
      <c r="WSY50" s="159"/>
      <c r="WSZ50" s="159"/>
      <c r="WTA50" s="159"/>
      <c r="WTB50" s="159"/>
      <c r="WTC50" s="159"/>
      <c r="WTD50" s="159"/>
      <c r="WTE50" s="159"/>
      <c r="WTF50" s="159"/>
      <c r="WTG50" s="159"/>
      <c r="WTH50" s="159"/>
      <c r="WTI50" s="159"/>
      <c r="WTJ50" s="159"/>
      <c r="WTK50" s="159"/>
      <c r="WTL50" s="159"/>
      <c r="WTM50" s="159"/>
      <c r="WTN50" s="159"/>
      <c r="WTO50" s="159"/>
      <c r="WTP50" s="159"/>
      <c r="WTQ50" s="159"/>
      <c r="WTR50" s="159"/>
      <c r="WTS50" s="159"/>
      <c r="WTT50" s="159"/>
      <c r="WTU50" s="159"/>
      <c r="WTV50" s="159"/>
      <c r="WTW50" s="159"/>
      <c r="WTX50" s="159"/>
      <c r="WTY50" s="159"/>
      <c r="WTZ50" s="159"/>
      <c r="WUA50" s="159"/>
      <c r="WUB50" s="159"/>
      <c r="WUC50" s="159"/>
      <c r="WUD50" s="159"/>
      <c r="WUE50" s="159"/>
      <c r="WUF50" s="159"/>
      <c r="WUG50" s="159"/>
      <c r="WUH50" s="159"/>
      <c r="WUI50" s="159"/>
      <c r="WUJ50" s="159"/>
      <c r="WUK50" s="159"/>
      <c r="WUL50" s="159"/>
      <c r="WUM50" s="159"/>
      <c r="WUN50" s="159"/>
      <c r="WUO50" s="159"/>
      <c r="WUP50" s="159"/>
      <c r="WUQ50" s="159"/>
      <c r="WUR50" s="159"/>
      <c r="WUS50" s="159"/>
      <c r="WUT50" s="159"/>
      <c r="WUU50" s="159"/>
      <c r="WUV50" s="159"/>
      <c r="WUW50" s="159"/>
      <c r="WUX50" s="159"/>
      <c r="WUY50" s="159"/>
      <c r="WUZ50" s="159"/>
      <c r="WVA50" s="159"/>
      <c r="WVB50" s="159"/>
      <c r="WVC50" s="159"/>
      <c r="WVD50" s="159"/>
      <c r="WVE50" s="159"/>
      <c r="WVF50" s="159"/>
      <c r="WVG50" s="159"/>
      <c r="WVH50" s="159"/>
      <c r="WVI50" s="159"/>
      <c r="WVJ50" s="159"/>
      <c r="WVK50" s="159"/>
      <c r="WVL50" s="159"/>
      <c r="WVM50" s="159"/>
      <c r="WVN50" s="159"/>
      <c r="WVO50" s="159"/>
      <c r="WVP50" s="159"/>
      <c r="WVQ50" s="159"/>
      <c r="WVR50" s="159"/>
      <c r="WVS50" s="159"/>
      <c r="WVT50" s="159"/>
      <c r="WVU50" s="159"/>
      <c r="WVV50" s="159"/>
      <c r="WVW50" s="159"/>
      <c r="WVX50" s="159"/>
      <c r="WVY50" s="159"/>
      <c r="WVZ50" s="159"/>
      <c r="WWA50" s="159"/>
      <c r="WWB50" s="159"/>
      <c r="WWC50" s="159"/>
      <c r="WWD50" s="159"/>
      <c r="WWE50" s="159"/>
      <c r="WWF50" s="159"/>
      <c r="WWG50" s="159"/>
      <c r="WWH50" s="159"/>
      <c r="WWI50" s="159"/>
      <c r="WWJ50" s="159"/>
      <c r="WWK50" s="159"/>
      <c r="WWL50" s="159"/>
      <c r="WWM50" s="159"/>
      <c r="WWN50" s="159"/>
      <c r="WWO50" s="159"/>
      <c r="WWP50" s="159"/>
      <c r="WWQ50" s="159"/>
      <c r="WWR50" s="159"/>
      <c r="WWS50" s="159"/>
      <c r="WWT50" s="159"/>
      <c r="WWU50" s="159"/>
      <c r="WWV50" s="159"/>
      <c r="WWW50" s="159"/>
      <c r="WWX50" s="159"/>
      <c r="WWY50" s="159"/>
      <c r="WWZ50" s="159"/>
      <c r="WXA50" s="159"/>
      <c r="WXB50" s="159"/>
      <c r="WXC50" s="159"/>
      <c r="WXD50" s="159"/>
      <c r="WXE50" s="159"/>
      <c r="WXF50" s="159"/>
      <c r="WXG50" s="159"/>
      <c r="WXH50" s="159"/>
      <c r="WXI50" s="159"/>
      <c r="WXJ50" s="159"/>
      <c r="WXK50" s="159"/>
      <c r="WXL50" s="159"/>
      <c r="WXM50" s="159"/>
      <c r="WXN50" s="159"/>
      <c r="WXO50" s="159"/>
      <c r="WXP50" s="159"/>
      <c r="WXQ50" s="159"/>
      <c r="WXR50" s="159"/>
      <c r="WXS50" s="159"/>
      <c r="WXT50" s="159"/>
      <c r="WXU50" s="159"/>
      <c r="WXV50" s="159"/>
      <c r="WXW50" s="159"/>
      <c r="WXX50" s="159"/>
      <c r="WXY50" s="159"/>
      <c r="WXZ50" s="159"/>
      <c r="WYA50" s="159"/>
      <c r="WYB50" s="159"/>
      <c r="WYC50" s="159"/>
      <c r="WYD50" s="159"/>
      <c r="WYE50" s="159"/>
      <c r="WYF50" s="159"/>
      <c r="WYG50" s="159"/>
      <c r="WYH50" s="159"/>
      <c r="WYI50" s="159"/>
      <c r="WYJ50" s="159"/>
      <c r="WYK50" s="159"/>
      <c r="WYL50" s="159"/>
      <c r="WYM50" s="159"/>
      <c r="WYN50" s="159"/>
      <c r="WYO50" s="159"/>
      <c r="WYP50" s="159"/>
      <c r="WYQ50" s="159"/>
      <c r="WYR50" s="159"/>
      <c r="WYS50" s="159"/>
      <c r="WYT50" s="159"/>
      <c r="WYU50" s="159"/>
      <c r="WYV50" s="159"/>
      <c r="WYW50" s="159"/>
      <c r="WYX50" s="159"/>
      <c r="WYY50" s="159"/>
      <c r="WYZ50" s="159"/>
      <c r="WZA50" s="159"/>
      <c r="WZB50" s="159"/>
      <c r="WZC50" s="159"/>
      <c r="WZD50" s="159"/>
      <c r="WZE50" s="159"/>
      <c r="WZF50" s="159"/>
      <c r="WZG50" s="159"/>
      <c r="WZH50" s="159"/>
      <c r="WZI50" s="159"/>
      <c r="WZJ50" s="159"/>
      <c r="WZK50" s="159"/>
      <c r="WZL50" s="159"/>
      <c r="WZM50" s="159"/>
      <c r="WZN50" s="159"/>
      <c r="WZO50" s="159"/>
      <c r="WZP50" s="159"/>
      <c r="WZQ50" s="159"/>
      <c r="WZR50" s="159"/>
      <c r="WZS50" s="159"/>
      <c r="WZT50" s="159"/>
      <c r="WZU50" s="159"/>
      <c r="WZV50" s="159"/>
      <c r="WZW50" s="159"/>
      <c r="WZX50" s="159"/>
      <c r="WZY50" s="159"/>
      <c r="WZZ50" s="159"/>
      <c r="XAA50" s="159"/>
      <c r="XAB50" s="159"/>
      <c r="XAC50" s="159"/>
      <c r="XAD50" s="159"/>
      <c r="XAE50" s="159"/>
      <c r="XAF50" s="159"/>
      <c r="XAG50" s="159"/>
      <c r="XAH50" s="159"/>
      <c r="XAI50" s="159"/>
      <c r="XAJ50" s="159"/>
      <c r="XAK50" s="159"/>
      <c r="XAL50" s="159"/>
      <c r="XAM50" s="159"/>
      <c r="XAN50" s="159"/>
      <c r="XAO50" s="159"/>
      <c r="XAP50" s="159"/>
      <c r="XAQ50" s="159"/>
      <c r="XAR50" s="159"/>
      <c r="XAS50" s="159"/>
      <c r="XAT50" s="159"/>
      <c r="XAU50" s="159"/>
      <c r="XAV50" s="159"/>
      <c r="XAW50" s="159"/>
      <c r="XAX50" s="159"/>
      <c r="XAY50" s="159"/>
      <c r="XAZ50" s="159"/>
      <c r="XBA50" s="159"/>
      <c r="XBB50" s="159"/>
      <c r="XBC50" s="159"/>
      <c r="XBD50" s="159"/>
      <c r="XBE50" s="159"/>
      <c r="XBF50" s="159"/>
      <c r="XBG50" s="159"/>
      <c r="XBH50" s="159"/>
      <c r="XBI50" s="159"/>
      <c r="XBJ50" s="159"/>
      <c r="XBK50" s="159"/>
      <c r="XBL50" s="159"/>
      <c r="XBM50" s="159"/>
      <c r="XBN50" s="159"/>
      <c r="XBO50" s="159"/>
      <c r="XBP50" s="159"/>
      <c r="XBQ50" s="159"/>
      <c r="XBR50" s="159"/>
      <c r="XBS50" s="159"/>
      <c r="XBT50" s="159"/>
      <c r="XBU50" s="159"/>
      <c r="XBV50" s="159"/>
      <c r="XBW50" s="159"/>
      <c r="XBX50" s="159"/>
      <c r="XBY50" s="159"/>
      <c r="XBZ50" s="159"/>
      <c r="XCA50" s="159"/>
      <c r="XCB50" s="159"/>
      <c r="XCC50" s="159"/>
      <c r="XCD50" s="159"/>
      <c r="XCE50" s="159"/>
      <c r="XCF50" s="159"/>
      <c r="XCG50" s="159"/>
      <c r="XCH50" s="159"/>
      <c r="XCI50" s="159"/>
      <c r="XCJ50" s="159"/>
      <c r="XCK50" s="159"/>
      <c r="XCL50" s="159"/>
      <c r="XCM50" s="159"/>
      <c r="XCN50" s="159"/>
      <c r="XCO50" s="159"/>
      <c r="XCP50" s="159"/>
      <c r="XCQ50" s="159"/>
      <c r="XCR50" s="159"/>
      <c r="XCS50" s="159"/>
      <c r="XCT50" s="159"/>
      <c r="XCU50" s="159"/>
      <c r="XCV50" s="159"/>
      <c r="XCW50" s="159"/>
      <c r="XCX50" s="159"/>
      <c r="XCY50" s="159"/>
      <c r="XCZ50" s="159"/>
      <c r="XDA50" s="159"/>
      <c r="XDB50" s="159"/>
      <c r="XDC50" s="159"/>
      <c r="XDD50" s="159"/>
      <c r="XDE50" s="159"/>
      <c r="XDF50" s="159"/>
      <c r="XDG50" s="159"/>
      <c r="XDH50" s="159"/>
      <c r="XDI50" s="159"/>
      <c r="XDJ50" s="159"/>
      <c r="XDK50" s="159"/>
      <c r="XDL50" s="159"/>
      <c r="XDM50" s="159"/>
      <c r="XDN50" s="159"/>
      <c r="XDO50" s="159"/>
      <c r="XDP50" s="159"/>
      <c r="XDQ50" s="159"/>
      <c r="XDR50" s="159"/>
      <c r="XDS50" s="159"/>
      <c r="XDT50" s="159"/>
      <c r="XDU50" s="159"/>
      <c r="XDV50" s="159"/>
      <c r="XDW50" s="159"/>
      <c r="XDX50" s="159"/>
      <c r="XDY50" s="159"/>
      <c r="XDZ50" s="159"/>
      <c r="XEA50" s="159"/>
      <c r="XEB50" s="159"/>
      <c r="XEC50" s="159"/>
      <c r="XED50" s="159"/>
      <c r="XEE50" s="159"/>
      <c r="XEF50" s="159"/>
      <c r="XEG50" s="159"/>
      <c r="XEH50" s="159"/>
      <c r="XEI50" s="159"/>
      <c r="XEJ50" s="159"/>
      <c r="XEK50" s="159"/>
      <c r="XEL50" s="159"/>
      <c r="XEM50" s="159"/>
      <c r="XEN50" s="159"/>
      <c r="XEO50" s="159"/>
      <c r="XEP50" s="159"/>
      <c r="XEQ50" s="159"/>
      <c r="XER50" s="159"/>
      <c r="XES50" s="159"/>
      <c r="XET50" s="159"/>
      <c r="XEU50" s="159"/>
      <c r="XEV50" s="159"/>
      <c r="XEW50" s="159"/>
      <c r="XEX50" s="159"/>
      <c r="XEY50" s="159"/>
      <c r="XEZ50" s="159"/>
      <c r="XFA50" s="159"/>
      <c r="XFB50" s="159"/>
      <c r="XFC50" s="159"/>
    </row>
    <row r="51" spans="1:16383" ht="18.75" customHeight="1">
      <c r="A51" s="1222" t="s">
        <v>225</v>
      </c>
      <c r="B51" s="1222"/>
      <c r="C51" s="1222"/>
      <c r="D51" s="1222"/>
      <c r="E51" s="1222"/>
      <c r="F51" s="1222"/>
      <c r="G51" s="161"/>
      <c r="H51" s="1222" t="s">
        <v>224</v>
      </c>
      <c r="I51" s="1222"/>
      <c r="J51" s="1222"/>
      <c r="K51" s="1222"/>
      <c r="L51" s="1222"/>
      <c r="M51" s="1222"/>
      <c r="N51" s="1222"/>
      <c r="O51" s="1222"/>
    </row>
    <row r="52" spans="1:16383">
      <c r="A52" s="1222"/>
      <c r="B52" s="1222"/>
      <c r="C52" s="1222"/>
      <c r="D52" s="1222"/>
      <c r="E52" s="1222"/>
      <c r="F52" s="1222"/>
      <c r="G52" s="161"/>
      <c r="H52" s="1222"/>
      <c r="I52" s="1222"/>
      <c r="J52" s="1222"/>
      <c r="K52" s="1222"/>
      <c r="L52" s="1222"/>
      <c r="M52" s="1222"/>
      <c r="N52" s="1222"/>
      <c r="O52" s="1222"/>
    </row>
    <row r="53" spans="1:16383" ht="8.1" customHeight="1">
      <c r="A53" s="160"/>
      <c r="B53" s="160"/>
      <c r="C53" s="160"/>
      <c r="D53" s="160"/>
      <c r="E53" s="160"/>
      <c r="F53" s="160"/>
      <c r="G53" s="160"/>
      <c r="H53" s="162"/>
      <c r="I53" s="158"/>
      <c r="J53" s="157"/>
    </row>
    <row r="54" spans="1:16383" ht="18.75" customHeight="1">
      <c r="A54" s="1222" t="s">
        <v>223</v>
      </c>
      <c r="B54" s="1222"/>
      <c r="C54" s="1222"/>
      <c r="D54" s="1222"/>
      <c r="E54" s="1222"/>
      <c r="F54" s="1222"/>
      <c r="G54" s="161"/>
      <c r="H54" s="1222" t="s">
        <v>222</v>
      </c>
      <c r="I54" s="1222"/>
      <c r="J54" s="1222"/>
      <c r="K54" s="1222"/>
      <c r="L54" s="1222"/>
      <c r="M54" s="1222"/>
      <c r="N54" s="1222"/>
      <c r="O54" s="1222"/>
    </row>
    <row r="55" spans="1:16383">
      <c r="A55" s="1222"/>
      <c r="B55" s="1222"/>
      <c r="C55" s="1222"/>
      <c r="D55" s="1222"/>
      <c r="E55" s="1222"/>
      <c r="F55" s="1222"/>
      <c r="G55" s="161"/>
      <c r="H55" s="1222"/>
      <c r="I55" s="1222"/>
      <c r="J55" s="1222"/>
      <c r="K55" s="1222"/>
      <c r="L55" s="1222"/>
      <c r="M55" s="1222"/>
      <c r="N55" s="1222"/>
      <c r="O55" s="1222"/>
    </row>
    <row r="56" spans="1:16383" ht="8.1" customHeight="1">
      <c r="I56" s="158"/>
      <c r="J56" s="157"/>
    </row>
    <row r="57" spans="1:16383" ht="14.25" customHeight="1"/>
    <row r="58" spans="1:16383" ht="18.75" customHeight="1">
      <c r="A58" s="160"/>
      <c r="B58" s="160"/>
      <c r="C58" s="160"/>
      <c r="D58" s="160"/>
      <c r="E58" s="160"/>
      <c r="F58" s="160"/>
      <c r="G58" s="160"/>
      <c r="H58" s="160"/>
      <c r="I58" s="160"/>
      <c r="J58" s="160"/>
      <c r="K58" s="160"/>
      <c r="L58" s="160"/>
      <c r="M58" s="160"/>
      <c r="N58" s="160"/>
      <c r="O58" s="160"/>
    </row>
    <row r="60" spans="1:16383" ht="18.75" customHeight="1"/>
    <row r="62" spans="1:16383" ht="18.75" customHeight="1"/>
    <row r="63" spans="1:16383">
      <c r="A63" s="159"/>
    </row>
    <row r="64" spans="1:16383" ht="18.75" customHeight="1"/>
    <row r="66" ht="12.75" customHeight="1"/>
  </sheetData>
  <sheetProtection password="CC29" sheet="1" objects="1" scenarios="1"/>
  <mergeCells count="11">
    <mergeCell ref="A3:B3"/>
    <mergeCell ref="A45:F46"/>
    <mergeCell ref="A48:F49"/>
    <mergeCell ref="A51:F52"/>
    <mergeCell ref="A54:F55"/>
    <mergeCell ref="H39:O43"/>
    <mergeCell ref="H45:O46"/>
    <mergeCell ref="H51:O52"/>
    <mergeCell ref="H54:O55"/>
    <mergeCell ref="C3:I3"/>
    <mergeCell ref="K3:Z3"/>
  </mergeCells>
  <printOptions horizontalCentered="1" verticalCentered="1"/>
  <pageMargins left="0.25" right="0.25" top="0.75" bottom="0.75" header="0.3" footer="0.3"/>
  <pageSetup scale="57" fitToWidth="0" orientation="landscape" r:id="rId1"/>
  <headerFooter>
    <oddHeader>&amp;LAlaska Department of RevenueTax Division&amp;RPrinted:  &amp;D &amp;TPage: &amp;P of &amp;N</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R36"/>
  <sheetViews>
    <sheetView workbookViewId="0">
      <selection activeCell="B6" sqref="B6:S6"/>
    </sheetView>
  </sheetViews>
  <sheetFormatPr defaultRowHeight="15"/>
  <cols>
    <col min="2" max="2" width="32.5703125" bestFit="1" customWidth="1"/>
    <col min="3" max="3" width="16.85546875" bestFit="1" customWidth="1"/>
    <col min="4" max="4" width="12.85546875" bestFit="1" customWidth="1"/>
    <col min="5" max="18" width="12" bestFit="1" customWidth="1"/>
  </cols>
  <sheetData>
    <row r="2" spans="1:18">
      <c r="A2" s="1">
        <v>0.01</v>
      </c>
      <c r="B2" t="s">
        <v>53</v>
      </c>
      <c r="C2">
        <f t="shared" ref="C2:Q2" si="0">D9</f>
        <v>2016</v>
      </c>
      <c r="D2">
        <f t="shared" si="0"/>
        <v>2017</v>
      </c>
      <c r="E2">
        <f t="shared" si="0"/>
        <v>2018</v>
      </c>
      <c r="F2">
        <f t="shared" si="0"/>
        <v>2019</v>
      </c>
      <c r="G2">
        <f t="shared" si="0"/>
        <v>2020</v>
      </c>
      <c r="H2">
        <f t="shared" si="0"/>
        <v>2021</v>
      </c>
      <c r="I2">
        <f t="shared" si="0"/>
        <v>2022</v>
      </c>
      <c r="J2">
        <f t="shared" si="0"/>
        <v>2023</v>
      </c>
      <c r="K2">
        <f t="shared" si="0"/>
        <v>2024</v>
      </c>
      <c r="L2">
        <f t="shared" si="0"/>
        <v>2025</v>
      </c>
      <c r="M2">
        <f t="shared" si="0"/>
        <v>2026</v>
      </c>
      <c r="N2">
        <f t="shared" si="0"/>
        <v>2027</v>
      </c>
      <c r="O2">
        <f t="shared" si="0"/>
        <v>2028</v>
      </c>
      <c r="P2">
        <f t="shared" si="0"/>
        <v>2029</v>
      </c>
      <c r="Q2">
        <f t="shared" si="0"/>
        <v>2030</v>
      </c>
    </row>
    <row r="3" spans="1:18">
      <c r="A3" s="1">
        <v>0.02</v>
      </c>
      <c r="B3" s="11">
        <f>'All Rev &amp; Projects'!B110</f>
        <v>0.01</v>
      </c>
      <c r="C3" s="313">
        <f>$B$3*SUMPRODUCT(D10:D21,$C$25:$C$36)/1000000</f>
        <v>140.98932152776467</v>
      </c>
      <c r="D3" s="313">
        <f t="shared" ref="D3:Q3" si="1">$B$3*SUMPRODUCT(E10:E21,$C$25:$C$36)/1000000</f>
        <v>143.80910795832</v>
      </c>
      <c r="E3" s="313">
        <f t="shared" si="1"/>
        <v>146.68529011748643</v>
      </c>
      <c r="F3" s="313">
        <f t="shared" si="1"/>
        <v>149.61899591983612</v>
      </c>
      <c r="G3" s="313">
        <f t="shared" si="1"/>
        <v>152.61137583823287</v>
      </c>
      <c r="H3" s="313">
        <f t="shared" si="1"/>
        <v>155.66360335499752</v>
      </c>
      <c r="I3" s="313">
        <f t="shared" si="1"/>
        <v>158.7768754220975</v>
      </c>
      <c r="J3" s="313">
        <f t="shared" si="1"/>
        <v>161.95241293053942</v>
      </c>
      <c r="K3" s="313">
        <f t="shared" si="1"/>
        <v>165.1914611891502</v>
      </c>
      <c r="L3" s="313">
        <f t="shared" si="1"/>
        <v>168.49529041293323</v>
      </c>
      <c r="M3" s="313">
        <f t="shared" si="1"/>
        <v>171.86519622119192</v>
      </c>
      <c r="N3" s="313">
        <f t="shared" si="1"/>
        <v>175.30250014561574</v>
      </c>
      <c r="O3" s="313">
        <f t="shared" si="1"/>
        <v>178.80855014852807</v>
      </c>
      <c r="P3" s="313">
        <f t="shared" si="1"/>
        <v>182.38472115149861</v>
      </c>
      <c r="Q3" s="313">
        <f t="shared" si="1"/>
        <v>186.03241557452864</v>
      </c>
    </row>
    <row r="4" spans="1:18">
      <c r="A4" s="1">
        <v>0.03</v>
      </c>
    </row>
    <row r="5" spans="1:18">
      <c r="A5" s="1">
        <v>0.04</v>
      </c>
    </row>
    <row r="6" spans="1:18">
      <c r="A6" s="1">
        <v>0.05</v>
      </c>
    </row>
    <row r="7" spans="1:18">
      <c r="A7" s="1"/>
    </row>
    <row r="8" spans="1:18">
      <c r="A8" s="1"/>
    </row>
    <row r="9" spans="1:18">
      <c r="A9" s="1"/>
      <c r="C9" t="s">
        <v>336</v>
      </c>
      <c r="D9">
        <v>2016</v>
      </c>
      <c r="E9">
        <v>2017</v>
      </c>
      <c r="F9">
        <v>2018</v>
      </c>
      <c r="G9">
        <v>2019</v>
      </c>
      <c r="H9">
        <v>2020</v>
      </c>
      <c r="I9">
        <v>2021</v>
      </c>
      <c r="J9">
        <v>2022</v>
      </c>
      <c r="K9">
        <v>2023</v>
      </c>
      <c r="L9">
        <v>2024</v>
      </c>
      <c r="M9">
        <v>2025</v>
      </c>
      <c r="N9">
        <v>2026</v>
      </c>
      <c r="O9">
        <v>2027</v>
      </c>
      <c r="P9">
        <v>2028</v>
      </c>
      <c r="Q9">
        <v>2029</v>
      </c>
      <c r="R9">
        <v>2030</v>
      </c>
    </row>
    <row r="10" spans="1:18">
      <c r="A10" s="1"/>
      <c r="B10" t="s">
        <v>337</v>
      </c>
      <c r="C10" s="112">
        <v>10380038208.823507</v>
      </c>
      <c r="D10">
        <f>C10*(1+$D25+$I$24)^3</f>
        <v>11015379587.509176</v>
      </c>
      <c r="E10">
        <f t="shared" ref="E10:R10" si="2">D10*(1+$D25+$I$24)</f>
        <v>11235687179.259359</v>
      </c>
      <c r="F10">
        <f t="shared" si="2"/>
        <v>11460400922.844547</v>
      </c>
      <c r="G10">
        <f t="shared" si="2"/>
        <v>11689608941.301439</v>
      </c>
      <c r="H10">
        <f t="shared" si="2"/>
        <v>11923401120.127468</v>
      </c>
      <c r="I10">
        <f t="shared" si="2"/>
        <v>12161869142.530018</v>
      </c>
      <c r="J10">
        <f t="shared" si="2"/>
        <v>12405106525.380619</v>
      </c>
      <c r="K10">
        <f t="shared" si="2"/>
        <v>12653208655.888231</v>
      </c>
      <c r="L10">
        <f t="shared" si="2"/>
        <v>12906272829.005997</v>
      </c>
      <c r="M10">
        <f t="shared" si="2"/>
        <v>13164398285.586117</v>
      </c>
      <c r="N10">
        <f t="shared" si="2"/>
        <v>13427686251.29784</v>
      </c>
      <c r="O10">
        <f t="shared" si="2"/>
        <v>13696239976.323797</v>
      </c>
      <c r="P10">
        <f t="shared" si="2"/>
        <v>13970164775.850273</v>
      </c>
      <c r="Q10">
        <f t="shared" si="2"/>
        <v>14249568071.367279</v>
      </c>
      <c r="R10">
        <f t="shared" si="2"/>
        <v>14534559432.794624</v>
      </c>
    </row>
    <row r="11" spans="1:18">
      <c r="A11" s="1"/>
      <c r="B11" t="s">
        <v>338</v>
      </c>
      <c r="C11" s="112">
        <v>2495349431.5034747</v>
      </c>
      <c r="D11">
        <f t="shared" ref="D11:D21" si="3">C11*(1+$D26+$I$24)^3</f>
        <v>2648084779.5069394</v>
      </c>
      <c r="E11">
        <f t="shared" ref="E11:R21" si="4">D11*(1+$D26+$I$24)</f>
        <v>2701046475.0970783</v>
      </c>
      <c r="F11">
        <f t="shared" si="4"/>
        <v>2755067404.59902</v>
      </c>
      <c r="G11">
        <f t="shared" si="4"/>
        <v>2810168752.6910005</v>
      </c>
      <c r="H11">
        <f t="shared" si="4"/>
        <v>2866372127.7448206</v>
      </c>
      <c r="I11">
        <f t="shared" si="4"/>
        <v>2923699570.2997169</v>
      </c>
      <c r="J11">
        <f t="shared" si="4"/>
        <v>2982173561.7057114</v>
      </c>
      <c r="K11">
        <f t="shared" si="4"/>
        <v>3041817032.9398255</v>
      </c>
      <c r="L11">
        <f t="shared" si="4"/>
        <v>3102653373.5986223</v>
      </c>
      <c r="M11">
        <f t="shared" si="4"/>
        <v>3164706441.0705948</v>
      </c>
      <c r="N11">
        <f t="shared" si="4"/>
        <v>3228000569.8920069</v>
      </c>
      <c r="O11">
        <f t="shared" si="4"/>
        <v>3292560581.2898469</v>
      </c>
      <c r="P11">
        <f t="shared" si="4"/>
        <v>3358411792.9156437</v>
      </c>
      <c r="Q11">
        <f t="shared" si="4"/>
        <v>3425580028.7739568</v>
      </c>
      <c r="R11">
        <f t="shared" si="4"/>
        <v>3494091629.3494358</v>
      </c>
    </row>
    <row r="12" spans="1:18">
      <c r="B12" t="s">
        <v>339</v>
      </c>
      <c r="C12" s="112">
        <v>320275605.85649693</v>
      </c>
      <c r="D12">
        <f t="shared" si="3"/>
        <v>339879035.13976139</v>
      </c>
      <c r="E12">
        <f t="shared" si="4"/>
        <v>346676615.8425566</v>
      </c>
      <c r="F12">
        <f t="shared" si="4"/>
        <v>353610148.15940773</v>
      </c>
      <c r="G12">
        <f t="shared" si="4"/>
        <v>360682351.12259591</v>
      </c>
      <c r="H12">
        <f t="shared" si="4"/>
        <v>367895998.14504784</v>
      </c>
      <c r="I12">
        <f t="shared" si="4"/>
        <v>375253918.10794878</v>
      </c>
      <c r="J12">
        <f t="shared" si="4"/>
        <v>382758996.47010773</v>
      </c>
      <c r="K12">
        <f t="shared" si="4"/>
        <v>390414176.39950991</v>
      </c>
      <c r="L12">
        <f t="shared" si="4"/>
        <v>398222459.92750013</v>
      </c>
      <c r="M12">
        <f t="shared" si="4"/>
        <v>406186909.12605011</v>
      </c>
      <c r="N12">
        <f t="shared" si="4"/>
        <v>414310647.3085711</v>
      </c>
      <c r="O12">
        <f t="shared" si="4"/>
        <v>422596860.2547425</v>
      </c>
      <c r="P12">
        <f t="shared" si="4"/>
        <v>431048797.45983738</v>
      </c>
      <c r="Q12">
        <f t="shared" si="4"/>
        <v>439669773.40903413</v>
      </c>
      <c r="R12">
        <f t="shared" si="4"/>
        <v>448463168.87721485</v>
      </c>
    </row>
    <row r="13" spans="1:18">
      <c r="B13" t="s">
        <v>340</v>
      </c>
      <c r="C13" s="112">
        <v>103071028.62608731</v>
      </c>
      <c r="D13">
        <f t="shared" si="3"/>
        <v>109379800.14623286</v>
      </c>
      <c r="E13">
        <f t="shared" si="4"/>
        <v>111567396.14915752</v>
      </c>
      <c r="F13">
        <f t="shared" si="4"/>
        <v>113798744.07214068</v>
      </c>
      <c r="G13">
        <f t="shared" si="4"/>
        <v>116074718.95358349</v>
      </c>
      <c r="H13">
        <f t="shared" si="4"/>
        <v>118396213.33265516</v>
      </c>
      <c r="I13">
        <f t="shared" si="4"/>
        <v>120764137.59930827</v>
      </c>
      <c r="J13">
        <f t="shared" si="4"/>
        <v>123179420.35129443</v>
      </c>
      <c r="K13">
        <f t="shared" si="4"/>
        <v>125643008.75832032</v>
      </c>
      <c r="L13">
        <f t="shared" si="4"/>
        <v>128155868.93348673</v>
      </c>
      <c r="M13">
        <f t="shared" si="4"/>
        <v>130718986.31215647</v>
      </c>
      <c r="N13">
        <f t="shared" si="4"/>
        <v>133333366.03839961</v>
      </c>
      <c r="O13">
        <f t="shared" si="4"/>
        <v>136000033.35916761</v>
      </c>
      <c r="P13">
        <f t="shared" si="4"/>
        <v>138720034.02635098</v>
      </c>
      <c r="Q13">
        <f t="shared" si="4"/>
        <v>141494434.70687801</v>
      </c>
      <c r="R13">
        <f t="shared" si="4"/>
        <v>144324323.40101558</v>
      </c>
    </row>
    <row r="14" spans="1:18">
      <c r="B14" t="s">
        <v>341</v>
      </c>
      <c r="C14" s="112">
        <v>2646332316.5869622</v>
      </c>
      <c r="D14">
        <f t="shared" si="3"/>
        <v>2808309025.020617</v>
      </c>
      <c r="E14">
        <f t="shared" si="4"/>
        <v>2864475205.5210295</v>
      </c>
      <c r="F14">
        <f t="shared" si="4"/>
        <v>2921764709.6314502</v>
      </c>
      <c r="G14">
        <f t="shared" si="4"/>
        <v>2980200003.824079</v>
      </c>
      <c r="H14">
        <f t="shared" si="4"/>
        <v>3039804003.9005609</v>
      </c>
      <c r="I14">
        <f t="shared" si="4"/>
        <v>3100600083.9785719</v>
      </c>
      <c r="J14">
        <f t="shared" si="4"/>
        <v>3162612085.6581435</v>
      </c>
      <c r="K14">
        <f t="shared" si="4"/>
        <v>3225864327.3713064</v>
      </c>
      <c r="L14">
        <f t="shared" si="4"/>
        <v>3290381613.9187326</v>
      </c>
      <c r="M14">
        <f t="shared" si="4"/>
        <v>3356189246.1971073</v>
      </c>
      <c r="N14">
        <f t="shared" si="4"/>
        <v>3423313031.1210494</v>
      </c>
      <c r="O14">
        <f t="shared" si="4"/>
        <v>3491779291.7434707</v>
      </c>
      <c r="P14">
        <f t="shared" si="4"/>
        <v>3561614877.5783401</v>
      </c>
      <c r="Q14">
        <f t="shared" si="4"/>
        <v>3632847175.1299071</v>
      </c>
      <c r="R14">
        <f t="shared" si="4"/>
        <v>3705504118.6325054</v>
      </c>
    </row>
    <row r="15" spans="1:18">
      <c r="B15" t="s">
        <v>342</v>
      </c>
      <c r="C15" s="112">
        <v>232038464.98345307</v>
      </c>
      <c r="D15">
        <f t="shared" si="3"/>
        <v>246241075.34816024</v>
      </c>
      <c r="E15">
        <f t="shared" si="4"/>
        <v>251165896.85512346</v>
      </c>
      <c r="F15">
        <f t="shared" si="4"/>
        <v>256189214.79222593</v>
      </c>
      <c r="G15">
        <f t="shared" si="4"/>
        <v>261312999.08807045</v>
      </c>
      <c r="H15">
        <f t="shared" si="4"/>
        <v>266539259.06983188</v>
      </c>
      <c r="I15">
        <f t="shared" si="4"/>
        <v>271870044.25122851</v>
      </c>
      <c r="J15">
        <f t="shared" si="4"/>
        <v>277307445.13625306</v>
      </c>
      <c r="K15">
        <f t="shared" si="4"/>
        <v>282853594.0389781</v>
      </c>
      <c r="L15">
        <f t="shared" si="4"/>
        <v>288510665.91975766</v>
      </c>
      <c r="M15">
        <f t="shared" si="4"/>
        <v>294280879.2381528</v>
      </c>
      <c r="N15">
        <f t="shared" si="4"/>
        <v>300166496.82291585</v>
      </c>
      <c r="O15">
        <f t="shared" si="4"/>
        <v>306169826.7593742</v>
      </c>
      <c r="P15">
        <f t="shared" si="4"/>
        <v>312293223.29456168</v>
      </c>
      <c r="Q15">
        <f t="shared" si="4"/>
        <v>318539087.76045293</v>
      </c>
      <c r="R15">
        <f t="shared" si="4"/>
        <v>324909869.51566201</v>
      </c>
    </row>
    <row r="16" spans="1:18">
      <c r="B16" t="s">
        <v>343</v>
      </c>
      <c r="C16" s="112">
        <v>34312537.738409549</v>
      </c>
      <c r="D16">
        <f t="shared" si="3"/>
        <v>36412739.548302121</v>
      </c>
      <c r="E16">
        <f t="shared" si="4"/>
        <v>37140994.339268163</v>
      </c>
      <c r="F16">
        <f>E16*(1+$D31+$I$24)</f>
        <v>37883814.226053528</v>
      </c>
      <c r="G16">
        <f t="shared" si="4"/>
        <v>38641490.510574602</v>
      </c>
      <c r="H16">
        <f t="shared" si="4"/>
        <v>39414320.320786096</v>
      </c>
      <c r="I16">
        <f t="shared" si="4"/>
        <v>40202606.727201819</v>
      </c>
      <c r="J16">
        <f t="shared" si="4"/>
        <v>41006658.861745857</v>
      </c>
      <c r="K16">
        <f t="shared" si="4"/>
        <v>41826792.038980775</v>
      </c>
      <c r="L16">
        <f t="shared" si="4"/>
        <v>42663327.879760392</v>
      </c>
      <c r="M16">
        <f t="shared" si="4"/>
        <v>43516594.4373556</v>
      </c>
      <c r="N16">
        <f t="shared" si="4"/>
        <v>44386926.326102711</v>
      </c>
      <c r="O16">
        <f t="shared" si="4"/>
        <v>45274664.852624767</v>
      </c>
      <c r="P16">
        <f t="shared" si="4"/>
        <v>46180158.149677262</v>
      </c>
      <c r="Q16">
        <f t="shared" si="4"/>
        <v>47103761.312670805</v>
      </c>
      <c r="R16">
        <f t="shared" si="4"/>
        <v>48045836.538924225</v>
      </c>
    </row>
    <row r="17" spans="2:18">
      <c r="B17" t="s">
        <v>344</v>
      </c>
      <c r="C17" s="112">
        <v>57270947.529135928</v>
      </c>
      <c r="D17">
        <f t="shared" si="3"/>
        <v>60776387.685499273</v>
      </c>
      <c r="E17">
        <f t="shared" si="4"/>
        <v>61991915.43920926</v>
      </c>
      <c r="F17">
        <f t="shared" si="4"/>
        <v>63231753.747993447</v>
      </c>
      <c r="G17">
        <f t="shared" si="4"/>
        <v>64496388.822953314</v>
      </c>
      <c r="H17">
        <f t="shared" si="4"/>
        <v>65786316.599412382</v>
      </c>
      <c r="I17">
        <f t="shared" si="4"/>
        <v>67102042.931400627</v>
      </c>
      <c r="J17">
        <f t="shared" si="4"/>
        <v>68444083.790028647</v>
      </c>
      <c r="K17">
        <f t="shared" si="4"/>
        <v>69812965.465829223</v>
      </c>
      <c r="L17">
        <f t="shared" si="4"/>
        <v>71209224.775145814</v>
      </c>
      <c r="M17">
        <f t="shared" si="4"/>
        <v>72633409.270648733</v>
      </c>
      <c r="N17">
        <f t="shared" si="4"/>
        <v>74086077.456061706</v>
      </c>
      <c r="O17">
        <f t="shared" si="4"/>
        <v>75567799.005182937</v>
      </c>
      <c r="P17">
        <f t="shared" si="4"/>
        <v>77079154.985286593</v>
      </c>
      <c r="Q17">
        <f t="shared" si="4"/>
        <v>78620738.084992319</v>
      </c>
      <c r="R17">
        <f t="shared" si="4"/>
        <v>80193152.84669216</v>
      </c>
    </row>
    <row r="18" spans="2:18">
      <c r="B18" t="s">
        <v>345</v>
      </c>
      <c r="C18" s="112">
        <v>28384605.143792637</v>
      </c>
      <c r="D18">
        <f t="shared" si="3"/>
        <v>30121970.055433895</v>
      </c>
      <c r="E18">
        <f t="shared" si="4"/>
        <v>30724409.456542574</v>
      </c>
      <c r="F18">
        <f t="shared" si="4"/>
        <v>31338897.645673428</v>
      </c>
      <c r="G18">
        <f t="shared" si="4"/>
        <v>31965675.598586898</v>
      </c>
      <c r="H18">
        <f t="shared" si="4"/>
        <v>32604989.110558636</v>
      </c>
      <c r="I18">
        <f t="shared" si="4"/>
        <v>33257088.89276981</v>
      </c>
      <c r="J18">
        <f t="shared" si="4"/>
        <v>33922230.67062521</v>
      </c>
      <c r="K18">
        <f t="shared" si="4"/>
        <v>34600675.284037717</v>
      </c>
      <c r="L18">
        <f t="shared" si="4"/>
        <v>35292688.789718471</v>
      </c>
      <c r="M18">
        <f t="shared" si="4"/>
        <v>35998542.565512843</v>
      </c>
      <c r="N18">
        <f t="shared" si="4"/>
        <v>36718513.416823104</v>
      </c>
      <c r="O18">
        <f t="shared" si="4"/>
        <v>37452883.685159564</v>
      </c>
      <c r="P18">
        <f t="shared" si="4"/>
        <v>38201941.358862758</v>
      </c>
      <c r="Q18">
        <f t="shared" si="4"/>
        <v>38965980.186040014</v>
      </c>
      <c r="R18">
        <f t="shared" si="4"/>
        <v>39745299.789760813</v>
      </c>
    </row>
    <row r="19" spans="2:18">
      <c r="B19" t="s">
        <v>346</v>
      </c>
      <c r="C19" s="112">
        <v>27329670.430788711</v>
      </c>
      <c r="D19">
        <f t="shared" si="3"/>
        <v>29002464.898516424</v>
      </c>
      <c r="E19">
        <f t="shared" si="4"/>
        <v>29582514.196486752</v>
      </c>
      <c r="F19">
        <f t="shared" si="4"/>
        <v>30174164.480416488</v>
      </c>
      <c r="G19">
        <f t="shared" si="4"/>
        <v>30777647.770024817</v>
      </c>
      <c r="H19">
        <f t="shared" si="4"/>
        <v>31393200.725425314</v>
      </c>
      <c r="I19">
        <f t="shared" si="4"/>
        <v>32021064.739933822</v>
      </c>
      <c r="J19">
        <f t="shared" si="4"/>
        <v>32661486.034732498</v>
      </c>
      <c r="K19">
        <f t="shared" si="4"/>
        <v>33314715.755427148</v>
      </c>
      <c r="L19">
        <f t="shared" si="4"/>
        <v>33981010.07053569</v>
      </c>
      <c r="M19">
        <f t="shared" si="4"/>
        <v>34660630.2719464</v>
      </c>
      <c r="N19">
        <f t="shared" si="4"/>
        <v>35353842.877385326</v>
      </c>
      <c r="O19">
        <f t="shared" si="4"/>
        <v>36060919.734933034</v>
      </c>
      <c r="P19">
        <f t="shared" si="4"/>
        <v>36782138.129631698</v>
      </c>
      <c r="Q19">
        <f t="shared" si="4"/>
        <v>37517780.892224334</v>
      </c>
      <c r="R19">
        <f t="shared" si="4"/>
        <v>38268136.510068819</v>
      </c>
    </row>
    <row r="20" spans="2:18">
      <c r="B20" t="s">
        <v>347</v>
      </c>
      <c r="C20" s="112">
        <v>386351970.50230521</v>
      </c>
      <c r="D20">
        <f t="shared" si="3"/>
        <v>409999801.91281027</v>
      </c>
      <c r="E20">
        <f t="shared" si="4"/>
        <v>418199797.95106649</v>
      </c>
      <c r="F20">
        <f t="shared" si="4"/>
        <v>426563793.91008782</v>
      </c>
      <c r="G20">
        <f t="shared" si="4"/>
        <v>435095069.78828961</v>
      </c>
      <c r="H20">
        <f t="shared" si="4"/>
        <v>443796971.18405539</v>
      </c>
      <c r="I20">
        <f t="shared" si="4"/>
        <v>452672910.60773653</v>
      </c>
      <c r="J20">
        <f t="shared" si="4"/>
        <v>461726368.81989127</v>
      </c>
      <c r="K20">
        <f t="shared" si="4"/>
        <v>470960896.19628912</v>
      </c>
      <c r="L20">
        <f t="shared" si="4"/>
        <v>480380114.12021494</v>
      </c>
      <c r="M20">
        <f t="shared" si="4"/>
        <v>489987716.40261924</v>
      </c>
      <c r="N20">
        <f t="shared" si="4"/>
        <v>499787470.73067164</v>
      </c>
      <c r="O20">
        <f t="shared" si="4"/>
        <v>509783220.14528507</v>
      </c>
      <c r="P20">
        <f t="shared" si="4"/>
        <v>519978884.54819077</v>
      </c>
      <c r="Q20">
        <f t="shared" si="4"/>
        <v>530378462.23915458</v>
      </c>
      <c r="R20">
        <f t="shared" si="4"/>
        <v>540986031.48393762</v>
      </c>
    </row>
    <row r="21" spans="2:18">
      <c r="B21" t="s">
        <v>348</v>
      </c>
      <c r="C21" s="112">
        <v>546929329.56097186</v>
      </c>
      <c r="D21">
        <f t="shared" si="3"/>
        <v>580405779.9647398</v>
      </c>
      <c r="E21">
        <f t="shared" si="4"/>
        <v>592013895.56403458</v>
      </c>
      <c r="F21">
        <f t="shared" si="4"/>
        <v>603854173.47531533</v>
      </c>
      <c r="G21">
        <f t="shared" si="4"/>
        <v>615931256.9448216</v>
      </c>
      <c r="H21">
        <f t="shared" si="4"/>
        <v>628249882.08371806</v>
      </c>
      <c r="I21">
        <f t="shared" si="4"/>
        <v>640814879.72539246</v>
      </c>
      <c r="J21">
        <f t="shared" si="4"/>
        <v>653631177.31990027</v>
      </c>
      <c r="K21">
        <f t="shared" si="4"/>
        <v>666703800.86629832</v>
      </c>
      <c r="L21">
        <f t="shared" si="4"/>
        <v>680037876.88362432</v>
      </c>
      <c r="M21">
        <f t="shared" si="4"/>
        <v>693638634.42129683</v>
      </c>
      <c r="N21">
        <f t="shared" si="4"/>
        <v>707511407.10972273</v>
      </c>
      <c r="O21">
        <f t="shared" si="4"/>
        <v>721661635.25191724</v>
      </c>
      <c r="P21">
        <f t="shared" si="4"/>
        <v>736094867.95695555</v>
      </c>
      <c r="Q21">
        <f t="shared" si="4"/>
        <v>750816765.31609464</v>
      </c>
      <c r="R21">
        <f t="shared" si="4"/>
        <v>765833100.6224165</v>
      </c>
    </row>
    <row r="24" spans="2:18" ht="90">
      <c r="C24" t="s">
        <v>299</v>
      </c>
      <c r="D24" s="338" t="s">
        <v>450</v>
      </c>
      <c r="H24" s="380" t="s">
        <v>451</v>
      </c>
      <c r="I24" s="372">
        <v>0.02</v>
      </c>
    </row>
    <row r="25" spans="2:18">
      <c r="B25" t="s">
        <v>337</v>
      </c>
      <c r="C25">
        <v>1</v>
      </c>
      <c r="D25">
        <v>0</v>
      </c>
    </row>
    <row r="26" spans="2:18">
      <c r="B26" t="s">
        <v>338</v>
      </c>
      <c r="C26">
        <v>0</v>
      </c>
      <c r="D26">
        <v>0</v>
      </c>
    </row>
    <row r="27" spans="2:18">
      <c r="B27" t="s">
        <v>339</v>
      </c>
      <c r="C27">
        <v>0</v>
      </c>
      <c r="D27">
        <v>0</v>
      </c>
    </row>
    <row r="28" spans="2:18">
      <c r="B28" t="s">
        <v>340</v>
      </c>
      <c r="C28">
        <v>0</v>
      </c>
      <c r="D28">
        <v>0</v>
      </c>
    </row>
    <row r="29" spans="2:18">
      <c r="B29" t="s">
        <v>341</v>
      </c>
      <c r="C29">
        <v>1</v>
      </c>
      <c r="D29">
        <v>0</v>
      </c>
    </row>
    <row r="30" spans="2:18">
      <c r="B30" t="s">
        <v>349</v>
      </c>
      <c r="C30">
        <v>1</v>
      </c>
      <c r="D30">
        <v>0</v>
      </c>
    </row>
    <row r="31" spans="2:18">
      <c r="B31" t="s">
        <v>343</v>
      </c>
      <c r="C31">
        <v>0</v>
      </c>
      <c r="D31">
        <v>0</v>
      </c>
    </row>
    <row r="32" spans="2:18">
      <c r="B32" t="s">
        <v>344</v>
      </c>
      <c r="C32">
        <v>0</v>
      </c>
      <c r="D32">
        <v>0</v>
      </c>
    </row>
    <row r="33" spans="2:4">
      <c r="B33" t="s">
        <v>345</v>
      </c>
      <c r="C33">
        <v>0</v>
      </c>
      <c r="D33">
        <v>0</v>
      </c>
    </row>
    <row r="34" spans="2:4">
      <c r="B34" t="s">
        <v>346</v>
      </c>
      <c r="C34">
        <v>1</v>
      </c>
      <c r="D34">
        <v>0</v>
      </c>
    </row>
    <row r="35" spans="2:4">
      <c r="B35" t="s">
        <v>347</v>
      </c>
      <c r="C35">
        <v>0</v>
      </c>
      <c r="D35">
        <v>0</v>
      </c>
    </row>
    <row r="36" spans="2:4">
      <c r="B36" t="s">
        <v>348</v>
      </c>
      <c r="C36">
        <v>0</v>
      </c>
      <c r="D36">
        <v>0</v>
      </c>
    </row>
  </sheetData>
  <sheetProtection password="CC29"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S18"/>
  <sheetViews>
    <sheetView workbookViewId="0">
      <selection activeCell="B6" sqref="B6:S6"/>
    </sheetView>
  </sheetViews>
  <sheetFormatPr defaultRowHeight="15"/>
  <cols>
    <col min="2" max="2" width="25.7109375" bestFit="1" customWidth="1"/>
  </cols>
  <sheetData>
    <row r="1" spans="1:19" ht="15.75" thickBot="1"/>
    <row r="2" spans="1:19" ht="15.75" thickBot="1">
      <c r="B2" s="355">
        <f>'All Rev &amp; Projects'!B100</f>
        <v>0.01</v>
      </c>
      <c r="C2" s="313">
        <f>$B$2*SUM(C11:C12)</f>
        <v>20.311717168244723</v>
      </c>
      <c r="D2" s="313">
        <f>$B$2*SUM(D11:D12)</f>
        <v>19.09526022527719</v>
      </c>
      <c r="E2" s="313">
        <f t="shared" ref="E2:S2" si="0">$B$2*SUM(E11:E12)</f>
        <v>19.413466260585423</v>
      </c>
      <c r="F2" s="313">
        <f t="shared" si="0"/>
        <v>19.868460326280484</v>
      </c>
      <c r="G2" s="313">
        <f t="shared" si="0"/>
        <v>20.311572371646129</v>
      </c>
      <c r="H2" s="313">
        <f t="shared" si="0"/>
        <v>20.760625427176482</v>
      </c>
      <c r="I2" s="313">
        <f t="shared" si="0"/>
        <v>21.272131487735543</v>
      </c>
      <c r="J2" s="313">
        <f t="shared" si="0"/>
        <v>21.7836375482946</v>
      </c>
      <c r="K2" s="313">
        <f t="shared" si="0"/>
        <v>22.23269060382496</v>
      </c>
      <c r="L2" s="313">
        <f t="shared" si="0"/>
        <v>22.675802649190604</v>
      </c>
      <c r="M2" s="313">
        <f t="shared" si="0"/>
        <v>23.187308709749665</v>
      </c>
      <c r="N2" s="313">
        <f t="shared" si="0"/>
        <v>23.76126777533743</v>
      </c>
      <c r="O2" s="313">
        <f t="shared" si="0"/>
        <v>24.272773835896487</v>
      </c>
      <c r="P2" s="313">
        <f t="shared" si="0"/>
        <v>24.784279896455548</v>
      </c>
      <c r="Q2" s="313">
        <f t="shared" si="0"/>
        <v>25.358238962043313</v>
      </c>
      <c r="R2" s="313">
        <f t="shared" si="0"/>
        <v>26.000592042824486</v>
      </c>
      <c r="S2" s="313">
        <f t="shared" si="0"/>
        <v>26.574551108412251</v>
      </c>
    </row>
    <row r="4" spans="1:19">
      <c r="A4" t="s">
        <v>397</v>
      </c>
    </row>
    <row r="5" spans="1:19">
      <c r="A5" s="339"/>
      <c r="B5" s="339"/>
      <c r="C5" s="343" t="s">
        <v>0</v>
      </c>
      <c r="D5" s="343" t="s">
        <v>1</v>
      </c>
      <c r="E5" s="343" t="s">
        <v>2</v>
      </c>
      <c r="F5" s="343" t="s">
        <v>3</v>
      </c>
      <c r="G5" s="343" t="s">
        <v>4</v>
      </c>
      <c r="H5" s="343" t="s">
        <v>5</v>
      </c>
      <c r="I5" s="343" t="s">
        <v>6</v>
      </c>
      <c r="J5" s="343" t="s">
        <v>7</v>
      </c>
      <c r="K5" s="343" t="s">
        <v>8</v>
      </c>
      <c r="L5" s="343" t="s">
        <v>9</v>
      </c>
      <c r="M5" s="343" t="s">
        <v>21</v>
      </c>
      <c r="N5" s="343" t="s">
        <v>35</v>
      </c>
      <c r="O5" s="343" t="s">
        <v>36</v>
      </c>
      <c r="P5" s="343" t="s">
        <v>37</v>
      </c>
      <c r="Q5" s="343" t="s">
        <v>38</v>
      </c>
      <c r="R5" s="343" t="s">
        <v>39</v>
      </c>
      <c r="S5" s="343" t="s">
        <v>40</v>
      </c>
    </row>
    <row r="6" spans="1:19">
      <c r="A6" s="339"/>
      <c r="B6" s="340" t="s">
        <v>441</v>
      </c>
      <c r="C6" s="341">
        <v>25.1</v>
      </c>
      <c r="D6" s="341">
        <v>21.4</v>
      </c>
      <c r="E6" s="341">
        <v>18.899999999999999</v>
      </c>
      <c r="F6" s="341">
        <v>19.2</v>
      </c>
      <c r="G6" s="341">
        <v>19.600000000000001</v>
      </c>
      <c r="H6" s="341">
        <v>20.100000000000001</v>
      </c>
      <c r="I6" s="341">
        <v>20.5</v>
      </c>
      <c r="J6" s="341">
        <v>21</v>
      </c>
      <c r="K6" s="341">
        <v>21.5</v>
      </c>
      <c r="L6" s="341">
        <v>22</v>
      </c>
      <c r="M6" s="341">
        <v>22.4</v>
      </c>
      <c r="N6" s="341">
        <v>22.9</v>
      </c>
      <c r="O6" s="341">
        <v>23.5</v>
      </c>
      <c r="P6" s="341">
        <v>24</v>
      </c>
      <c r="Q6" s="341">
        <v>24.5</v>
      </c>
      <c r="R6" s="341">
        <v>25.1</v>
      </c>
      <c r="S6" s="341">
        <v>25.7</v>
      </c>
    </row>
    <row r="7" spans="1:19">
      <c r="A7" s="339"/>
      <c r="B7" s="340" t="s">
        <v>440</v>
      </c>
      <c r="C7" s="373">
        <v>26.5</v>
      </c>
      <c r="D7" s="373">
        <v>22.8</v>
      </c>
      <c r="E7" s="374">
        <v>23.2</v>
      </c>
      <c r="F7" s="374">
        <v>23.6</v>
      </c>
      <c r="G7" s="374">
        <v>24.2</v>
      </c>
      <c r="H7" s="375">
        <v>24.7</v>
      </c>
      <c r="I7" s="375">
        <v>25.3</v>
      </c>
      <c r="J7" s="375">
        <v>25.9</v>
      </c>
      <c r="K7" s="375">
        <v>26.4</v>
      </c>
      <c r="L7" s="375">
        <v>27</v>
      </c>
      <c r="M7" s="375">
        <v>27.6</v>
      </c>
      <c r="N7" s="375">
        <v>28.3</v>
      </c>
      <c r="O7" s="375">
        <v>28.9</v>
      </c>
      <c r="P7" s="375">
        <v>29.5</v>
      </c>
      <c r="Q7" s="375">
        <v>30.2</v>
      </c>
      <c r="R7" s="375">
        <v>30.9</v>
      </c>
      <c r="S7" s="375">
        <v>31.6</v>
      </c>
    </row>
    <row r="8" spans="1:19">
      <c r="A8" s="339"/>
      <c r="B8" s="339" t="s">
        <v>443</v>
      </c>
      <c r="C8" s="341">
        <v>7.1</v>
      </c>
      <c r="D8" s="341">
        <v>5.6</v>
      </c>
      <c r="E8" s="341">
        <v>5.8</v>
      </c>
      <c r="F8" s="341">
        <v>6</v>
      </c>
      <c r="G8" s="341">
        <v>6.2</v>
      </c>
      <c r="H8" s="341">
        <v>6.3</v>
      </c>
      <c r="I8" s="341">
        <v>6.4</v>
      </c>
      <c r="J8" s="341">
        <v>6.6</v>
      </c>
      <c r="K8" s="341">
        <v>6.7</v>
      </c>
      <c r="L8" s="341">
        <v>6.9</v>
      </c>
      <c r="M8" s="341">
        <v>7</v>
      </c>
      <c r="N8" s="341">
        <v>7.2</v>
      </c>
      <c r="O8" s="341">
        <v>7.4</v>
      </c>
      <c r="P8" s="341">
        <v>7.5</v>
      </c>
      <c r="Q8" s="341">
        <v>7.7</v>
      </c>
      <c r="R8" s="341">
        <v>7.9</v>
      </c>
      <c r="S8" s="341">
        <v>8</v>
      </c>
    </row>
    <row r="9" spans="1:19">
      <c r="A9" s="339"/>
      <c r="B9" s="339" t="s">
        <v>442</v>
      </c>
      <c r="C9" s="376">
        <v>5.5</v>
      </c>
      <c r="D9" s="376">
        <v>7.1</v>
      </c>
      <c r="E9" s="377">
        <v>7.2</v>
      </c>
      <c r="F9" s="377">
        <v>7.5</v>
      </c>
      <c r="G9" s="377">
        <v>7.6</v>
      </c>
      <c r="H9" s="378">
        <v>7.8</v>
      </c>
      <c r="I9" s="378">
        <v>8</v>
      </c>
      <c r="J9" s="378">
        <v>8.1999999999999993</v>
      </c>
      <c r="K9" s="378">
        <v>8.4</v>
      </c>
      <c r="L9" s="378">
        <v>8.5</v>
      </c>
      <c r="M9" s="378">
        <v>8.6999999999999993</v>
      </c>
      <c r="N9" s="378">
        <v>8.9</v>
      </c>
      <c r="O9" s="378">
        <v>9.1</v>
      </c>
      <c r="P9" s="378">
        <v>9.3000000000000007</v>
      </c>
      <c r="Q9" s="378">
        <v>9.5</v>
      </c>
      <c r="R9" s="378">
        <v>9.8000000000000007</v>
      </c>
      <c r="S9" s="378">
        <v>10</v>
      </c>
    </row>
    <row r="10" spans="1:19">
      <c r="A10" s="339"/>
      <c r="B10" s="339"/>
      <c r="C10" s="342"/>
      <c r="D10" s="342"/>
      <c r="E10" s="342"/>
      <c r="F10" s="342"/>
      <c r="G10" s="342"/>
      <c r="H10" s="342"/>
      <c r="I10" s="342"/>
      <c r="J10" s="342"/>
      <c r="K10" s="342"/>
      <c r="L10" s="342"/>
      <c r="M10" s="342"/>
      <c r="N10" s="342"/>
      <c r="O10" s="342"/>
      <c r="P10" s="342"/>
      <c r="Q10" s="342"/>
      <c r="R10" s="342"/>
      <c r="S10" s="342"/>
    </row>
    <row r="11" spans="1:19">
      <c r="B11" t="s">
        <v>400</v>
      </c>
      <c r="C11">
        <f>(2*C7)/($C$17*0.01)</f>
        <v>1655.0046332607083</v>
      </c>
      <c r="D11">
        <f t="shared" ref="D11:S11" si="1">(2*D7)/($C$17*0.01)</f>
        <v>1423.9285146544962</v>
      </c>
      <c r="E11">
        <f t="shared" si="1"/>
        <v>1448.9097166659785</v>
      </c>
      <c r="F11">
        <f t="shared" si="1"/>
        <v>1473.8909186774611</v>
      </c>
      <c r="G11">
        <f t="shared" si="1"/>
        <v>1511.3627216946845</v>
      </c>
      <c r="H11">
        <f t="shared" si="1"/>
        <v>1542.5892242090374</v>
      </c>
      <c r="I11">
        <f t="shared" si="1"/>
        <v>1580.0610272262611</v>
      </c>
      <c r="J11">
        <f t="shared" si="1"/>
        <v>1617.5328302434846</v>
      </c>
      <c r="K11">
        <f t="shared" si="1"/>
        <v>1648.7593327578377</v>
      </c>
      <c r="L11">
        <f t="shared" si="1"/>
        <v>1686.2311357750614</v>
      </c>
      <c r="M11">
        <f t="shared" si="1"/>
        <v>1723.7029387922851</v>
      </c>
      <c r="N11">
        <f t="shared" si="1"/>
        <v>1767.4200423123791</v>
      </c>
      <c r="O11">
        <f t="shared" si="1"/>
        <v>1804.8918453296026</v>
      </c>
      <c r="P11">
        <f t="shared" si="1"/>
        <v>1842.3636483468263</v>
      </c>
      <c r="Q11">
        <f t="shared" si="1"/>
        <v>1886.0807518669203</v>
      </c>
      <c r="R11">
        <f t="shared" si="1"/>
        <v>1929.7978553870146</v>
      </c>
      <c r="S11">
        <f t="shared" si="1"/>
        <v>1973.5149589071088</v>
      </c>
    </row>
    <row r="12" spans="1:19">
      <c r="B12" t="s">
        <v>401</v>
      </c>
      <c r="C12">
        <f>(2*C9)/($C$18*0.01)</f>
        <v>376.16708356376409</v>
      </c>
      <c r="D12">
        <f t="shared" ref="D12:S12" si="2">(2*D9)/($C$18*0.01)</f>
        <v>485.59750787322275</v>
      </c>
      <c r="E12">
        <f t="shared" si="2"/>
        <v>492.43690939256396</v>
      </c>
      <c r="F12">
        <f t="shared" si="2"/>
        <v>512.95511395058747</v>
      </c>
      <c r="G12">
        <f t="shared" si="2"/>
        <v>519.79451546992857</v>
      </c>
      <c r="H12">
        <f t="shared" si="2"/>
        <v>533.47331850861087</v>
      </c>
      <c r="I12">
        <f t="shared" si="2"/>
        <v>547.15212154729329</v>
      </c>
      <c r="J12">
        <f t="shared" si="2"/>
        <v>560.83092458597559</v>
      </c>
      <c r="K12">
        <f t="shared" si="2"/>
        <v>574.5097276246579</v>
      </c>
      <c r="L12">
        <f t="shared" si="2"/>
        <v>581.34912914399911</v>
      </c>
      <c r="M12">
        <f t="shared" si="2"/>
        <v>595.02793218268141</v>
      </c>
      <c r="N12">
        <f t="shared" si="2"/>
        <v>608.70673522136383</v>
      </c>
      <c r="O12">
        <f t="shared" si="2"/>
        <v>622.38553826004602</v>
      </c>
      <c r="P12">
        <f t="shared" si="2"/>
        <v>636.06434129872844</v>
      </c>
      <c r="Q12">
        <f t="shared" si="2"/>
        <v>649.74314433741074</v>
      </c>
      <c r="R12">
        <f t="shared" si="2"/>
        <v>670.26134889543425</v>
      </c>
      <c r="S12">
        <f t="shared" si="2"/>
        <v>683.94015193411656</v>
      </c>
    </row>
    <row r="17" spans="2:3">
      <c r="B17" t="s">
        <v>398</v>
      </c>
      <c r="C17">
        <v>3.2024079531172562</v>
      </c>
    </row>
    <row r="18" spans="2:3">
      <c r="B18" t="s">
        <v>399</v>
      </c>
      <c r="C18">
        <v>2.9242324702595592</v>
      </c>
    </row>
  </sheetData>
  <sheetProtection password="CC29"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T18"/>
  <sheetViews>
    <sheetView workbookViewId="0">
      <selection activeCell="B6" sqref="B6:S6"/>
    </sheetView>
  </sheetViews>
  <sheetFormatPr defaultRowHeight="15"/>
  <sheetData>
    <row r="2" spans="1:20" ht="15.75" thickBot="1">
      <c r="D2">
        <f>D6</f>
        <v>2014</v>
      </c>
      <c r="E2">
        <f t="shared" ref="E2:L2" si="0">E6</f>
        <v>2015</v>
      </c>
      <c r="F2">
        <f t="shared" si="0"/>
        <v>2016</v>
      </c>
      <c r="G2">
        <f t="shared" si="0"/>
        <v>2017</v>
      </c>
      <c r="H2">
        <f t="shared" si="0"/>
        <v>2018</v>
      </c>
      <c r="I2">
        <f t="shared" si="0"/>
        <v>2019</v>
      </c>
      <c r="J2">
        <f t="shared" si="0"/>
        <v>2020</v>
      </c>
      <c r="K2">
        <f t="shared" si="0"/>
        <v>2021</v>
      </c>
      <c r="L2">
        <f t="shared" si="0"/>
        <v>2022</v>
      </c>
      <c r="M2">
        <f t="shared" ref="M2:T2" si="1">M6</f>
        <v>2023</v>
      </c>
      <c r="N2">
        <f t="shared" si="1"/>
        <v>2024</v>
      </c>
      <c r="O2">
        <f t="shared" si="1"/>
        <v>2025</v>
      </c>
      <c r="P2">
        <f t="shared" si="1"/>
        <v>2026</v>
      </c>
      <c r="Q2">
        <f t="shared" si="1"/>
        <v>2027</v>
      </c>
      <c r="R2">
        <f t="shared" si="1"/>
        <v>2028</v>
      </c>
      <c r="S2">
        <f t="shared" si="1"/>
        <v>2029</v>
      </c>
      <c r="T2">
        <f t="shared" si="1"/>
        <v>2030</v>
      </c>
    </row>
    <row r="3" spans="1:20" ht="15.75" thickBot="1">
      <c r="B3" s="358">
        <f>'All Rev &amp; Projects'!B104</f>
        <v>0.01</v>
      </c>
      <c r="D3" s="346">
        <f>ROUND(G18-D7,1)</f>
        <v>6.2</v>
      </c>
      <c r="E3">
        <f>D3*E8</f>
        <v>6.0076372315035806</v>
      </c>
      <c r="F3">
        <f t="shared" ref="F3:L3" si="2">E3*F8</f>
        <v>5.9188544152744642</v>
      </c>
      <c r="G3">
        <f t="shared" si="2"/>
        <v>5.8892601431980909</v>
      </c>
      <c r="H3">
        <f t="shared" si="2"/>
        <v>5.874463007159906</v>
      </c>
      <c r="I3">
        <f t="shared" si="2"/>
        <v>5.874463007159906</v>
      </c>
      <c r="J3">
        <f t="shared" si="2"/>
        <v>5.874463007159906</v>
      </c>
      <c r="K3">
        <f t="shared" si="2"/>
        <v>5.874463007159906</v>
      </c>
      <c r="L3">
        <f t="shared" si="2"/>
        <v>5.874463007159906</v>
      </c>
      <c r="M3">
        <f t="shared" ref="M3:T3" si="3">L3*M8</f>
        <v>5.874463007159906</v>
      </c>
      <c r="N3">
        <f t="shared" si="3"/>
        <v>5.874463007159906</v>
      </c>
      <c r="O3">
        <f t="shared" si="3"/>
        <v>5.874463007159906</v>
      </c>
      <c r="P3">
        <f t="shared" si="3"/>
        <v>5.874463007159906</v>
      </c>
      <c r="Q3">
        <f t="shared" si="3"/>
        <v>5.874463007159906</v>
      </c>
      <c r="R3">
        <f t="shared" si="3"/>
        <v>5.874463007159906</v>
      </c>
      <c r="S3">
        <f t="shared" si="3"/>
        <v>5.874463007159906</v>
      </c>
      <c r="T3">
        <f t="shared" si="3"/>
        <v>5.874463007159906</v>
      </c>
    </row>
    <row r="4" spans="1:20">
      <c r="A4" t="s">
        <v>444</v>
      </c>
      <c r="B4">
        <v>3.5</v>
      </c>
    </row>
    <row r="5" spans="1:20">
      <c r="A5" t="s">
        <v>445</v>
      </c>
      <c r="B5">
        <v>-0.2</v>
      </c>
    </row>
    <row r="6" spans="1:20">
      <c r="D6">
        <v>2014</v>
      </c>
      <c r="E6">
        <f>D6+1</f>
        <v>2015</v>
      </c>
      <c r="F6">
        <f t="shared" ref="F6:T6" si="4">E6+1</f>
        <v>2016</v>
      </c>
      <c r="G6">
        <f t="shared" si="4"/>
        <v>2017</v>
      </c>
      <c r="H6">
        <f t="shared" si="4"/>
        <v>2018</v>
      </c>
      <c r="I6">
        <f t="shared" si="4"/>
        <v>2019</v>
      </c>
      <c r="J6">
        <f t="shared" si="4"/>
        <v>2020</v>
      </c>
      <c r="K6">
        <f t="shared" si="4"/>
        <v>2021</v>
      </c>
      <c r="L6">
        <f t="shared" si="4"/>
        <v>2022</v>
      </c>
      <c r="M6">
        <f t="shared" si="4"/>
        <v>2023</v>
      </c>
      <c r="N6">
        <f t="shared" si="4"/>
        <v>2024</v>
      </c>
      <c r="O6">
        <f t="shared" si="4"/>
        <v>2025</v>
      </c>
      <c r="P6">
        <f t="shared" si="4"/>
        <v>2026</v>
      </c>
      <c r="Q6">
        <f t="shared" si="4"/>
        <v>2027</v>
      </c>
      <c r="R6">
        <f t="shared" si="4"/>
        <v>2028</v>
      </c>
      <c r="S6">
        <f t="shared" si="4"/>
        <v>2029</v>
      </c>
      <c r="T6">
        <f t="shared" si="4"/>
        <v>2030</v>
      </c>
    </row>
    <row r="7" spans="1:20">
      <c r="C7" s="314" t="s">
        <v>410</v>
      </c>
      <c r="D7" s="345">
        <v>41.9</v>
      </c>
      <c r="E7" s="345">
        <v>40.6</v>
      </c>
      <c r="F7" s="345">
        <v>40</v>
      </c>
      <c r="G7" s="345">
        <v>39.799999999999997</v>
      </c>
      <c r="H7" s="345">
        <v>39.700000000000003</v>
      </c>
      <c r="I7" s="345">
        <v>39.700000000000003</v>
      </c>
      <c r="J7" s="345">
        <v>39.700000000000003</v>
      </c>
      <c r="K7" s="345">
        <v>39.700000000000003</v>
      </c>
      <c r="L7" s="345">
        <v>39.700000000000003</v>
      </c>
      <c r="M7" s="345">
        <v>39.700000000000003</v>
      </c>
      <c r="N7" s="345">
        <v>39.700000000000003</v>
      </c>
      <c r="O7" s="345">
        <v>39.700000000000003</v>
      </c>
      <c r="P7" s="345">
        <v>39.700000000000003</v>
      </c>
      <c r="Q7" s="345">
        <v>39.700000000000003</v>
      </c>
      <c r="R7" s="345">
        <v>39.700000000000003</v>
      </c>
      <c r="S7" s="345">
        <v>39.700000000000003</v>
      </c>
      <c r="T7" s="345">
        <v>39.700000000000003</v>
      </c>
    </row>
    <row r="8" spans="1:20">
      <c r="C8" t="s">
        <v>417</v>
      </c>
      <c r="E8">
        <f>E7/D7</f>
        <v>0.96897374701670647</v>
      </c>
      <c r="F8">
        <f t="shared" ref="F8:L8" si="5">F7/E7</f>
        <v>0.98522167487684731</v>
      </c>
      <c r="G8">
        <f t="shared" si="5"/>
        <v>0.99499999999999988</v>
      </c>
      <c r="H8">
        <f t="shared" si="5"/>
        <v>0.9974874371859298</v>
      </c>
      <c r="I8">
        <f t="shared" si="5"/>
        <v>1</v>
      </c>
      <c r="J8">
        <f t="shared" si="5"/>
        <v>1</v>
      </c>
      <c r="K8">
        <f t="shared" si="5"/>
        <v>1</v>
      </c>
      <c r="L8">
        <f t="shared" si="5"/>
        <v>1</v>
      </c>
      <c r="M8">
        <f t="shared" ref="M8:T8" si="6">M7/L7</f>
        <v>1</v>
      </c>
      <c r="N8">
        <f t="shared" si="6"/>
        <v>1</v>
      </c>
      <c r="O8">
        <f t="shared" si="6"/>
        <v>1</v>
      </c>
      <c r="P8">
        <f t="shared" si="6"/>
        <v>1</v>
      </c>
      <c r="Q8">
        <f t="shared" si="6"/>
        <v>1</v>
      </c>
      <c r="R8">
        <f t="shared" si="6"/>
        <v>1</v>
      </c>
      <c r="S8">
        <f t="shared" si="6"/>
        <v>1</v>
      </c>
      <c r="T8">
        <f t="shared" si="6"/>
        <v>1</v>
      </c>
    </row>
    <row r="9" spans="1:20">
      <c r="C9" s="314" t="s">
        <v>411</v>
      </c>
      <c r="E9" t="s">
        <v>416</v>
      </c>
    </row>
    <row r="11" spans="1:20">
      <c r="D11" s="379" t="s">
        <v>446</v>
      </c>
      <c r="E11" s="379" t="s">
        <v>447</v>
      </c>
      <c r="F11" s="379" t="s">
        <v>448</v>
      </c>
      <c r="G11" s="379" t="s">
        <v>449</v>
      </c>
    </row>
    <row r="12" spans="1:20">
      <c r="C12" t="s">
        <v>412</v>
      </c>
      <c r="D12">
        <v>0.08</v>
      </c>
      <c r="E12">
        <f>0.08+B3</f>
        <v>0.09</v>
      </c>
      <c r="F12">
        <v>379572822.10000002</v>
      </c>
      <c r="G12">
        <f>E12*F12*(1+$B$5*(($B$4+E12)/($B$4+D12)-1))</f>
        <v>34142469.321967036</v>
      </c>
      <c r="H12">
        <f>F12/SUM($F$12:$F$15)</f>
        <v>0.60982453222492394</v>
      </c>
    </row>
    <row r="13" spans="1:20">
      <c r="C13" s="314" t="s">
        <v>414</v>
      </c>
      <c r="D13">
        <v>0.05</v>
      </c>
      <c r="E13">
        <f>0.05+B3</f>
        <v>6.0000000000000005E-2</v>
      </c>
      <c r="F13">
        <v>102852004.09999999</v>
      </c>
      <c r="G13">
        <f>E13*F13*(1+$B$5*(($B$4+E13)/($B$4+D13)-1))</f>
        <v>6167643.5585374655</v>
      </c>
      <c r="H13">
        <f>F13/SUM($F$12:$F$15)</f>
        <v>0.1652427983164563</v>
      </c>
    </row>
    <row r="14" spans="1:20">
      <c r="C14" s="314" t="s">
        <v>413</v>
      </c>
      <c r="D14">
        <v>4.7E-2</v>
      </c>
      <c r="E14">
        <f>0.047+B3</f>
        <v>5.7000000000000002E-2</v>
      </c>
      <c r="F14">
        <v>130031397</v>
      </c>
      <c r="G14">
        <f>E14*F14*(1+$B$5*(($B$4+E14)/($B$4+D14)-1))</f>
        <v>7407610.4411629559</v>
      </c>
      <c r="H14">
        <f>F14/SUM($F$12:$F$15)</f>
        <v>0.20890941403909954</v>
      </c>
    </row>
    <row r="15" spans="1:20">
      <c r="C15" s="314" t="s">
        <v>415</v>
      </c>
      <c r="D15">
        <v>3.2000000000000001E-2</v>
      </c>
      <c r="E15">
        <f>0.032+B3</f>
        <v>4.2000000000000003E-2</v>
      </c>
      <c r="F15">
        <v>9973348</v>
      </c>
      <c r="G15">
        <f>E15*F15*(1+$B$5*(($B$4+E15)/($B$4+D15)-1))</f>
        <v>418643.4242582107</v>
      </c>
      <c r="H15">
        <f>F15/SUM($F$12:$F$15)</f>
        <v>1.6023255419520144E-2</v>
      </c>
    </row>
    <row r="17" spans="7:7">
      <c r="G17">
        <f>SUM(G12:G15)</f>
        <v>48136366.745925672</v>
      </c>
    </row>
    <row r="18" spans="7:7">
      <c r="G18">
        <f>G17/1000000</f>
        <v>48.13636674592567</v>
      </c>
    </row>
  </sheetData>
  <sheetProtection password="CC29"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2:R59"/>
  <sheetViews>
    <sheetView workbookViewId="0">
      <selection activeCell="B6" sqref="B6:S6"/>
    </sheetView>
  </sheetViews>
  <sheetFormatPr defaultColWidth="9.140625" defaultRowHeight="12.75"/>
  <cols>
    <col min="1" max="1" width="40.42578125" style="94" customWidth="1"/>
    <col min="2" max="11" width="16" style="94" customWidth="1"/>
    <col min="12" max="17" width="15" style="94" bestFit="1" customWidth="1"/>
    <col min="18" max="16384" width="9.140625" style="94"/>
  </cols>
  <sheetData>
    <row r="2" spans="1:18">
      <c r="B2" s="94">
        <f>B10</f>
        <v>2015</v>
      </c>
      <c r="C2" s="94">
        <f t="shared" ref="C2:Q2" si="0">C10</f>
        <v>2016</v>
      </c>
      <c r="D2" s="94">
        <f t="shared" si="0"/>
        <v>2017</v>
      </c>
      <c r="E2" s="94">
        <f t="shared" si="0"/>
        <v>2018</v>
      </c>
      <c r="F2" s="94">
        <f t="shared" si="0"/>
        <v>2019</v>
      </c>
      <c r="G2" s="94">
        <f t="shared" si="0"/>
        <v>2020</v>
      </c>
      <c r="H2" s="94">
        <f t="shared" si="0"/>
        <v>2021</v>
      </c>
      <c r="I2" s="94">
        <f t="shared" si="0"/>
        <v>2022</v>
      </c>
      <c r="J2" s="94">
        <f t="shared" si="0"/>
        <v>2023</v>
      </c>
      <c r="K2" s="94">
        <f t="shared" si="0"/>
        <v>2024</v>
      </c>
      <c r="L2" s="94">
        <f t="shared" si="0"/>
        <v>2025</v>
      </c>
      <c r="M2" s="94">
        <f t="shared" si="0"/>
        <v>2026</v>
      </c>
      <c r="N2" s="94">
        <f t="shared" si="0"/>
        <v>2027</v>
      </c>
      <c r="O2" s="94">
        <f t="shared" si="0"/>
        <v>2028</v>
      </c>
      <c r="P2" s="94">
        <f t="shared" si="0"/>
        <v>2029</v>
      </c>
      <c r="Q2" s="94">
        <f t="shared" si="0"/>
        <v>2030</v>
      </c>
    </row>
    <row r="3" spans="1:18" ht="15">
      <c r="A3" s="95">
        <f>'All Rev &amp; Projects'!B114</f>
        <v>0.05</v>
      </c>
      <c r="B3" s="365">
        <f>A3*'Personal Income Tax'!C$45*(1+'Personal Income Tax'!B$29-'Personal Income Tax'!B$28)*(1+'Personal Income Tax'!C$47)^2*'Personal Income Tax'!C$48*1000*(1+'Personal Income Tax'!F$59)/1000000</f>
        <v>186.05709533162263</v>
      </c>
      <c r="C3" s="102">
        <f>B3*(1+$C$8+$C$9*$A3*$B$29)</f>
        <v>190.05670889283795</v>
      </c>
      <c r="D3" s="102">
        <f t="shared" ref="D3:Q3" si="1">C3*(1+$C$8+$C$9*$A3*$B$29)</f>
        <v>194.14230094689464</v>
      </c>
      <c r="E3" s="102">
        <f t="shared" si="1"/>
        <v>198.31571974765978</v>
      </c>
      <c r="F3" s="102">
        <f t="shared" si="1"/>
        <v>202.57885328035934</v>
      </c>
      <c r="G3" s="102">
        <f t="shared" si="1"/>
        <v>206.93363011567126</v>
      </c>
      <c r="H3" s="102">
        <f t="shared" si="1"/>
        <v>211.38202028217884</v>
      </c>
      <c r="I3" s="102">
        <f t="shared" si="1"/>
        <v>215.92603615757878</v>
      </c>
      <c r="J3" s="102">
        <f t="shared" si="1"/>
        <v>220.56773337904744</v>
      </c>
      <c r="K3" s="102">
        <f t="shared" si="1"/>
        <v>225.30921177317683</v>
      </c>
      <c r="L3" s="102">
        <f t="shared" si="1"/>
        <v>230.15261630590132</v>
      </c>
      <c r="M3" s="102">
        <f t="shared" si="1"/>
        <v>235.10013805284441</v>
      </c>
      <c r="N3" s="102">
        <f t="shared" si="1"/>
        <v>240.15401519052503</v>
      </c>
      <c r="O3" s="102">
        <f t="shared" si="1"/>
        <v>245.31653400887123</v>
      </c>
      <c r="P3" s="102">
        <f t="shared" si="1"/>
        <v>250.59002994549977</v>
      </c>
      <c r="Q3" s="102">
        <f t="shared" si="1"/>
        <v>255.97688864222923</v>
      </c>
    </row>
    <row r="7" spans="1:18">
      <c r="A7" s="96" t="s">
        <v>160</v>
      </c>
    </row>
    <row r="8" spans="1:18">
      <c r="A8" s="97" t="s">
        <v>161</v>
      </c>
      <c r="C8" s="98">
        <v>2.35E-2</v>
      </c>
    </row>
    <row r="9" spans="1:18">
      <c r="A9" s="97" t="s">
        <v>162</v>
      </c>
      <c r="C9" s="98">
        <f>-0.048-0.251</f>
        <v>-0.29899999999999999</v>
      </c>
    </row>
    <row r="10" spans="1:18">
      <c r="A10" s="99" t="s">
        <v>163</v>
      </c>
      <c r="B10" s="100">
        <v>2015</v>
      </c>
      <c r="C10" s="99">
        <v>2016</v>
      </c>
      <c r="D10" s="99">
        <v>2017</v>
      </c>
      <c r="E10" s="99">
        <v>2018</v>
      </c>
      <c r="F10" s="99">
        <v>2019</v>
      </c>
      <c r="G10" s="99">
        <v>2020</v>
      </c>
      <c r="H10" s="99">
        <v>2021</v>
      </c>
      <c r="I10" s="99">
        <v>2022</v>
      </c>
      <c r="J10" s="99">
        <v>2023</v>
      </c>
      <c r="K10" s="99">
        <v>2024</v>
      </c>
      <c r="L10" s="99">
        <v>2025</v>
      </c>
      <c r="M10" s="99">
        <v>2026</v>
      </c>
      <c r="N10" s="99">
        <v>2027</v>
      </c>
      <c r="O10" s="99">
        <v>2028</v>
      </c>
      <c r="P10" s="99">
        <v>2029</v>
      </c>
      <c r="Q10" s="99">
        <v>2030</v>
      </c>
      <c r="R10" s="99" t="s">
        <v>164</v>
      </c>
    </row>
    <row r="11" spans="1:18">
      <c r="A11" s="101">
        <v>0.05</v>
      </c>
      <c r="B11" s="365">
        <f>A11*'Personal Income Tax'!C$45*(1+'Personal Income Tax'!B$29-'Personal Income Tax'!B$28)*(1+'Personal Income Tax'!C$47)^2*'Personal Income Tax'!C$48*1000*(1+'Personal Income Tax'!F$59)</f>
        <v>186057095.33162263</v>
      </c>
      <c r="C11" s="102">
        <f>B11*(1+$C$8+$C$9*$A11*$B$29)</f>
        <v>190056708.89283794</v>
      </c>
      <c r="D11" s="102">
        <f t="shared" ref="D11:Q11" si="2">C11*(1+$C$8+$C$9*$A11*$B$29)</f>
        <v>194142300.94689465</v>
      </c>
      <c r="E11" s="102">
        <f t="shared" si="2"/>
        <v>198315719.74765977</v>
      </c>
      <c r="F11" s="102">
        <f t="shared" si="2"/>
        <v>202578853.28035933</v>
      </c>
      <c r="G11" s="102">
        <f t="shared" si="2"/>
        <v>206933630.11567125</v>
      </c>
      <c r="H11" s="102">
        <f t="shared" si="2"/>
        <v>211382020.28217882</v>
      </c>
      <c r="I11" s="102">
        <f t="shared" si="2"/>
        <v>215926036.15757877</v>
      </c>
      <c r="J11" s="102">
        <f t="shared" si="2"/>
        <v>220567733.37904742</v>
      </c>
      <c r="K11" s="102">
        <f t="shared" si="2"/>
        <v>225309211.77317682</v>
      </c>
      <c r="L11" s="102">
        <f t="shared" si="2"/>
        <v>230152616.30590129</v>
      </c>
      <c r="M11" s="102">
        <f t="shared" si="2"/>
        <v>235100138.05284441</v>
      </c>
      <c r="N11" s="102">
        <f t="shared" si="2"/>
        <v>240154015.19052503</v>
      </c>
      <c r="O11" s="102">
        <f t="shared" si="2"/>
        <v>245316534.00887123</v>
      </c>
      <c r="P11" s="102">
        <f t="shared" si="2"/>
        <v>250590029.94549978</v>
      </c>
      <c r="Q11" s="102">
        <f t="shared" si="2"/>
        <v>255976888.64222923</v>
      </c>
      <c r="R11" s="103">
        <f>((Q11/B11)^(1/9)-1)*100</f>
        <v>3.6083951214458621</v>
      </c>
    </row>
    <row r="12" spans="1:18">
      <c r="A12" s="101">
        <v>0.1</v>
      </c>
      <c r="B12" s="365">
        <f>A12*'Personal Income Tax'!C$45*(1+'Personal Income Tax'!B$29-'Personal Income Tax'!B$28)*(1+'Personal Income Tax'!C$47)^2*'Personal Income Tax'!C$48*1000*(1+'Personal Income Tax'!F$59)</f>
        <v>372114190.66324526</v>
      </c>
      <c r="C12" s="102">
        <f t="shared" ref="C12:Q21" si="3">B12*(1+$C$8+$C$9*$A12*$B$29)</f>
        <v>379367961.42752016</v>
      </c>
      <c r="D12" s="102">
        <f t="shared" si="3"/>
        <v>386763132.84681135</v>
      </c>
      <c r="E12" s="102">
        <f t="shared" si="3"/>
        <v>394302461.30064738</v>
      </c>
      <c r="F12" s="102">
        <f t="shared" si="3"/>
        <v>401988756.89976543</v>
      </c>
      <c r="G12" s="102">
        <f t="shared" si="3"/>
        <v>409824884.53351533</v>
      </c>
      <c r="H12" s="102">
        <f t="shared" si="3"/>
        <v>417813764.93768096</v>
      </c>
      <c r="I12" s="102">
        <f t="shared" si="3"/>
        <v>425958375.78311718</v>
      </c>
      <c r="J12" s="102">
        <f t="shared" si="3"/>
        <v>434261752.78560781</v>
      </c>
      <c r="K12" s="102">
        <f t="shared" si="3"/>
        <v>442726990.83735877</v>
      </c>
      <c r="L12" s="102">
        <f t="shared" si="3"/>
        <v>451357245.16054773</v>
      </c>
      <c r="M12" s="102">
        <f t="shared" si="3"/>
        <v>460155732.48336035</v>
      </c>
      <c r="N12" s="102">
        <f t="shared" si="3"/>
        <v>469125732.2389515</v>
      </c>
      <c r="O12" s="102">
        <f t="shared" si="3"/>
        <v>478270587.78777826</v>
      </c>
      <c r="P12" s="102">
        <f t="shared" si="3"/>
        <v>487593707.66376054</v>
      </c>
      <c r="Q12" s="102">
        <f t="shared" si="3"/>
        <v>497098566.8447333</v>
      </c>
      <c r="R12" s="103">
        <f t="shared" ref="R12:R21" si="4">((Q12/B12)^(1/9)-1)*100</f>
        <v>3.2699652724799355</v>
      </c>
    </row>
    <row r="13" spans="1:18">
      <c r="A13" s="101">
        <v>0.15</v>
      </c>
      <c r="B13" s="365">
        <f>A13*'Personal Income Tax'!C$45*(1+'Personal Income Tax'!B$29-'Personal Income Tax'!B$28)*(1+'Personal Income Tax'!C$47)^2*'Personal Income Tax'!C$48*1000*(1+'Personal Income Tax'!F$59)</f>
        <v>558171285.99486768</v>
      </c>
      <c r="C13" s="102">
        <f t="shared" si="3"/>
        <v>567933757.60404658</v>
      </c>
      <c r="D13" s="102">
        <f t="shared" si="3"/>
        <v>577866975.81791711</v>
      </c>
      <c r="E13" s="102">
        <f t="shared" si="3"/>
        <v>587973927.01167011</v>
      </c>
      <c r="F13" s="102">
        <f t="shared" si="3"/>
        <v>598257649.79249692</v>
      </c>
      <c r="G13" s="102">
        <f t="shared" si="3"/>
        <v>608721235.91313267</v>
      </c>
      <c r="H13" s="102">
        <f t="shared" si="3"/>
        <v>619367831.20137703</v>
      </c>
      <c r="I13" s="102">
        <f t="shared" si="3"/>
        <v>630200636.50587225</v>
      </c>
      <c r="J13" s="102">
        <f t="shared" si="3"/>
        <v>641222908.65842366</v>
      </c>
      <c r="K13" s="102">
        <f t="shared" si="3"/>
        <v>652437961.45315039</v>
      </c>
      <c r="L13" s="102">
        <f t="shared" si="3"/>
        <v>663849166.64276218</v>
      </c>
      <c r="M13" s="102">
        <f t="shared" si="3"/>
        <v>675459954.95226085</v>
      </c>
      <c r="N13" s="102">
        <f t="shared" si="3"/>
        <v>687273817.11037147</v>
      </c>
      <c r="O13" s="102">
        <f t="shared" si="3"/>
        <v>699294304.89901364</v>
      </c>
      <c r="P13" s="102">
        <f t="shared" si="3"/>
        <v>711525032.22112787</v>
      </c>
      <c r="Q13" s="102">
        <f t="shared" si="3"/>
        <v>723969676.18717861</v>
      </c>
      <c r="R13" s="103">
        <f t="shared" si="4"/>
        <v>2.9319784755417411</v>
      </c>
    </row>
    <row r="14" spans="1:18">
      <c r="A14" s="101">
        <v>0.2</v>
      </c>
      <c r="B14" s="365">
        <f>A14*'Personal Income Tax'!C$45*(1+'Personal Income Tax'!B$29-'Personal Income Tax'!B$28)*(1+'Personal Income Tax'!C$47)^2*'Personal Income Tax'!C$48*1000*(1+'Personal Income Tax'!F$59)</f>
        <v>744228381.32649052</v>
      </c>
      <c r="C14" s="102">
        <f t="shared" si="3"/>
        <v>755754097.42241776</v>
      </c>
      <c r="D14" s="102">
        <f t="shared" si="3"/>
        <v>767458309.97837937</v>
      </c>
      <c r="E14" s="102">
        <f t="shared" si="3"/>
        <v>779343783.33335268</v>
      </c>
      <c r="F14" s="102">
        <f t="shared" si="3"/>
        <v>791413324.63707972</v>
      </c>
      <c r="G14" s="102">
        <f t="shared" si="3"/>
        <v>803669784.51306939</v>
      </c>
      <c r="H14" s="102">
        <f t="shared" si="3"/>
        <v>816116057.73186648</v>
      </c>
      <c r="I14" s="102">
        <f t="shared" si="3"/>
        <v>828755083.89474845</v>
      </c>
      <c r="J14" s="102">
        <f t="shared" si="3"/>
        <v>841589848.1280098</v>
      </c>
      <c r="K14" s="102">
        <f t="shared" si="3"/>
        <v>854623381.7879988</v>
      </c>
      <c r="L14" s="102">
        <f t="shared" si="3"/>
        <v>867858763.17707324</v>
      </c>
      <c r="M14" s="102">
        <f t="shared" si="3"/>
        <v>881299118.27064407</v>
      </c>
      <c r="N14" s="102">
        <f t="shared" si="3"/>
        <v>894947621.45547795</v>
      </c>
      <c r="O14" s="102">
        <f t="shared" si="3"/>
        <v>908807496.2794348</v>
      </c>
      <c r="P14" s="102">
        <f t="shared" si="3"/>
        <v>922882016.21281528</v>
      </c>
      <c r="Q14" s="102">
        <f t="shared" si="3"/>
        <v>937174505.42150009</v>
      </c>
      <c r="R14" s="103">
        <f t="shared" si="4"/>
        <v>2.5944350212106837</v>
      </c>
    </row>
    <row r="15" spans="1:18">
      <c r="A15" s="101">
        <v>0.25</v>
      </c>
      <c r="B15" s="365">
        <f>A15*'Personal Income Tax'!C$45*(1+'Personal Income Tax'!B$29-'Personal Income Tax'!B$28)*(1+'Personal Income Tax'!C$47)^2*'Personal Income Tax'!C$48*1000*(1+'Personal Income Tax'!F$59)</f>
        <v>930285476.65811288</v>
      </c>
      <c r="C15" s="102">
        <f t="shared" si="3"/>
        <v>942828980.88263249</v>
      </c>
      <c r="D15" s="102">
        <f t="shared" si="3"/>
        <v>955541615.44636345</v>
      </c>
      <c r="E15" s="102">
        <f t="shared" si="3"/>
        <v>968425660.81823444</v>
      </c>
      <c r="F15" s="102">
        <f t="shared" si="3"/>
        <v>981483428.21587706</v>
      </c>
      <c r="G15" s="102">
        <f t="shared" si="3"/>
        <v>994717260.02022576</v>
      </c>
      <c r="H15" s="102">
        <f t="shared" si="3"/>
        <v>1008129530.1957085</v>
      </c>
      <c r="I15" s="102">
        <f t="shared" si="3"/>
        <v>1021722644.7161024</v>
      </c>
      <c r="J15" s="102">
        <f t="shared" si="3"/>
        <v>1035499041.9961319</v>
      </c>
      <c r="K15" s="102">
        <f t="shared" si="3"/>
        <v>1049461193.3288867</v>
      </c>
      <c r="L15" s="102">
        <f t="shared" si="3"/>
        <v>1063611603.3291367</v>
      </c>
      <c r="M15" s="102">
        <f t="shared" si="3"/>
        <v>1077952810.3826251</v>
      </c>
      <c r="N15" s="102">
        <f t="shared" si="3"/>
        <v>1092487387.1014192</v>
      </c>
      <c r="O15" s="102">
        <f t="shared" si="3"/>
        <v>1107217940.7854011</v>
      </c>
      <c r="P15" s="102">
        <f t="shared" si="3"/>
        <v>1122147113.889981</v>
      </c>
      <c r="Q15" s="102">
        <f t="shared" si="3"/>
        <v>1137277584.5001166</v>
      </c>
      <c r="R15" s="103">
        <f t="shared" si="4"/>
        <v>2.2573352008299352</v>
      </c>
    </row>
    <row r="16" spans="1:18">
      <c r="A16" s="101">
        <v>0.3</v>
      </c>
      <c r="B16" s="365">
        <f>A16*'Personal Income Tax'!C$45*(1+'Personal Income Tax'!B$29-'Personal Income Tax'!B$28)*(1+'Personal Income Tax'!C$47)^2*'Personal Income Tax'!C$48*1000*(1+'Personal Income Tax'!F$59)</f>
        <v>1116342571.9897354</v>
      </c>
      <c r="C16" s="102">
        <f t="shared" si="3"/>
        <v>1129158407.9846921</v>
      </c>
      <c r="D16" s="102">
        <f t="shared" si="3"/>
        <v>1142121372.3400381</v>
      </c>
      <c r="E16" s="102">
        <f t="shared" si="3"/>
        <v>1155233154.1187763</v>
      </c>
      <c r="F16" s="102">
        <f t="shared" si="3"/>
        <v>1168495461.7746909</v>
      </c>
      <c r="G16" s="102">
        <f t="shared" si="3"/>
        <v>1181910023.3749568</v>
      </c>
      <c r="H16" s="102">
        <f t="shared" si="3"/>
        <v>1195478586.8253062</v>
      </c>
      <c r="I16" s="102">
        <f t="shared" si="3"/>
        <v>1209202920.0977781</v>
      </c>
      <c r="J16" s="102">
        <f t="shared" si="3"/>
        <v>1223084811.4610846</v>
      </c>
      <c r="K16" s="102">
        <f t="shared" si="3"/>
        <v>1237126069.7136202</v>
      </c>
      <c r="L16" s="102">
        <f t="shared" si="3"/>
        <v>1251328524.4191465</v>
      </c>
      <c r="M16" s="102">
        <f t="shared" si="3"/>
        <v>1265694026.1451833</v>
      </c>
      <c r="N16" s="102">
        <f t="shared" si="3"/>
        <v>1280224446.7041354</v>
      </c>
      <c r="O16" s="102">
        <f t="shared" si="3"/>
        <v>1294921679.3971882</v>
      </c>
      <c r="P16" s="102">
        <f t="shared" si="3"/>
        <v>1309787639.261004</v>
      </c>
      <c r="Q16" s="102">
        <f t="shared" si="3"/>
        <v>1324824263.3172481</v>
      </c>
      <c r="R16" s="103">
        <f t="shared" si="4"/>
        <v>1.9206793065101646</v>
      </c>
    </row>
    <row r="17" spans="1:18">
      <c r="A17" s="101">
        <v>0.6</v>
      </c>
      <c r="B17" s="365">
        <f>A17*'Personal Income Tax'!C$45*(1+'Personal Income Tax'!B$29-'Personal Income Tax'!B$28)*(1+'Personal Income Tax'!C$47)^2*'Personal Income Tax'!C$48*1000*(1+'Personal Income Tax'!F$59)</f>
        <v>2232685143.9794707</v>
      </c>
      <c r="C17" s="102">
        <f t="shared" si="3"/>
        <v>2231480387.0757794</v>
      </c>
      <c r="D17" s="102">
        <f t="shared" si="3"/>
        <v>2230276280.2589135</v>
      </c>
      <c r="E17" s="102">
        <f t="shared" si="3"/>
        <v>2229072823.1780858</v>
      </c>
      <c r="F17" s="102">
        <f t="shared" si="3"/>
        <v>2227870015.4826989</v>
      </c>
      <c r="G17" s="102">
        <f t="shared" si="3"/>
        <v>2226667856.8223443</v>
      </c>
      <c r="H17" s="102">
        <f t="shared" si="3"/>
        <v>2225466346.8468032</v>
      </c>
      <c r="I17" s="102">
        <f t="shared" si="3"/>
        <v>2224265485.2060447</v>
      </c>
      <c r="J17" s="102">
        <f t="shared" si="3"/>
        <v>2223065271.5502276</v>
      </c>
      <c r="K17" s="102">
        <f t="shared" si="3"/>
        <v>2221865705.5296993</v>
      </c>
      <c r="L17" s="102">
        <f t="shared" si="3"/>
        <v>2220666786.7949958</v>
      </c>
      <c r="M17" s="102">
        <f t="shared" si="3"/>
        <v>2219468514.9968414</v>
      </c>
      <c r="N17" s="102">
        <f t="shared" si="3"/>
        <v>2218270889.786149</v>
      </c>
      <c r="O17" s="102">
        <f t="shared" si="3"/>
        <v>2217073910.8140206</v>
      </c>
      <c r="P17" s="102">
        <f t="shared" si="3"/>
        <v>2215877577.7317452</v>
      </c>
      <c r="Q17" s="102">
        <f t="shared" si="3"/>
        <v>2214681890.1908011</v>
      </c>
      <c r="R17" s="103">
        <f t="shared" si="4"/>
        <v>-8.9917156354424321E-2</v>
      </c>
    </row>
    <row r="18" spans="1:18">
      <c r="A18" s="101">
        <v>0.7</v>
      </c>
      <c r="B18" s="365">
        <f>A18*'Personal Income Tax'!C$45*(1+'Personal Income Tax'!B$29-'Personal Income Tax'!B$28)*(1+'Personal Income Tax'!C$47)^2*'Personal Income Tax'!C$48*1000*(1+'Personal Income Tax'!F$59)</f>
        <v>2604799334.6427155</v>
      </c>
      <c r="C18" s="102">
        <f t="shared" si="3"/>
        <v>2592957395.9075627</v>
      </c>
      <c r="D18" s="102">
        <f t="shared" si="3"/>
        <v>2581169292.994288</v>
      </c>
      <c r="E18" s="102">
        <f t="shared" si="3"/>
        <v>2569434781.1544776</v>
      </c>
      <c r="F18" s="102">
        <f t="shared" si="3"/>
        <v>2557753616.7523932</v>
      </c>
      <c r="G18" s="102">
        <f t="shared" si="3"/>
        <v>2546125557.2599134</v>
      </c>
      <c r="H18" s="102">
        <f t="shared" si="3"/>
        <v>2534550361.2514987</v>
      </c>
      <c r="I18" s="102">
        <f t="shared" si="3"/>
        <v>2523027788.3991771</v>
      </c>
      <c r="J18" s="102">
        <f t="shared" si="3"/>
        <v>2511557599.467557</v>
      </c>
      <c r="K18" s="102">
        <f t="shared" si="3"/>
        <v>2500139556.3088579</v>
      </c>
      <c r="L18" s="102">
        <f t="shared" si="3"/>
        <v>2488773421.8579669</v>
      </c>
      <c r="M18" s="102">
        <f t="shared" si="3"/>
        <v>2477458960.1275163</v>
      </c>
      <c r="N18" s="102">
        <f t="shared" si="3"/>
        <v>2466195936.2029848</v>
      </c>
      <c r="O18" s="102">
        <f t="shared" si="3"/>
        <v>2454984116.2378187</v>
      </c>
      <c r="P18" s="102">
        <f t="shared" si="3"/>
        <v>2443823267.4485784</v>
      </c>
      <c r="Q18" s="102">
        <f t="shared" si="3"/>
        <v>2432713158.1101036</v>
      </c>
      <c r="R18" s="103">
        <f t="shared" si="4"/>
        <v>-0.75655120053570446</v>
      </c>
    </row>
    <row r="19" spans="1:18">
      <c r="A19" s="101">
        <v>0.8</v>
      </c>
      <c r="B19" s="365">
        <f>A19*'Personal Income Tax'!C$45*(1+'Personal Income Tax'!B$29-'Personal Income Tax'!B$28)*(1+'Personal Income Tax'!C$47)^2*'Personal Income Tax'!C$48*1000*(1+'Personal Income Tax'!F$59)</f>
        <v>2976913525.3059621</v>
      </c>
      <c r="C19" s="102">
        <f t="shared" si="3"/>
        <v>2951452579.3067255</v>
      </c>
      <c r="D19" s="102">
        <f t="shared" si="3"/>
        <v>2926209395.6864314</v>
      </c>
      <c r="E19" s="102">
        <f t="shared" si="3"/>
        <v>2901182111.9670048</v>
      </c>
      <c r="F19" s="102">
        <f t="shared" si="3"/>
        <v>2876368881.5997734</v>
      </c>
      <c r="G19" s="102">
        <f t="shared" si="3"/>
        <v>2851767873.829227</v>
      </c>
      <c r="H19" s="102">
        <f t="shared" si="3"/>
        <v>2827377273.5579405</v>
      </c>
      <c r="I19" s="102">
        <f t="shared" si="3"/>
        <v>2803195281.2126546</v>
      </c>
      <c r="J19" s="102">
        <f t="shared" si="3"/>
        <v>2779220112.6114993</v>
      </c>
      <c r="K19" s="102">
        <f t="shared" si="3"/>
        <v>2755449998.832356</v>
      </c>
      <c r="L19" s="102">
        <f t="shared" si="3"/>
        <v>2731883186.0823426</v>
      </c>
      <c r="M19" s="102">
        <f t="shared" si="3"/>
        <v>2708517935.568418</v>
      </c>
      <c r="N19" s="102">
        <f t="shared" si="3"/>
        <v>2685352523.3690886</v>
      </c>
      <c r="O19" s="102">
        <f t="shared" si="3"/>
        <v>2662385240.3072176</v>
      </c>
      <c r="P19" s="102">
        <f t="shared" si="3"/>
        <v>2639614391.8239183</v>
      </c>
      <c r="Q19" s="102">
        <f t="shared" si="3"/>
        <v>2617038297.8535271</v>
      </c>
      <c r="R19" s="103">
        <f t="shared" si="4"/>
        <v>-1.4213988831974556</v>
      </c>
    </row>
    <row r="20" spans="1:18">
      <c r="A20" s="101">
        <v>0.9</v>
      </c>
      <c r="B20" s="365">
        <f>A20*'Personal Income Tax'!C$45*(1+'Personal Income Tax'!B$29-'Personal Income Tax'!B$28)*(1+'Personal Income Tax'!C$47)^2*'Personal Income Tax'!C$48*1000*(1+'Personal Income Tax'!F$59)</f>
        <v>3349027715.9692063</v>
      </c>
      <c r="C20" s="102">
        <f t="shared" si="3"/>
        <v>3306965937.273263</v>
      </c>
      <c r="D20" s="102">
        <f t="shared" si="3"/>
        <v>3265432429.2806735</v>
      </c>
      <c r="E20" s="102">
        <f t="shared" si="3"/>
        <v>3224420557.2283664</v>
      </c>
      <c r="F20" s="102">
        <f t="shared" si="3"/>
        <v>3183923769.6819129</v>
      </c>
      <c r="G20" s="102">
        <f t="shared" si="3"/>
        <v>3143935597.4889703</v>
      </c>
      <c r="H20" s="102">
        <f t="shared" si="3"/>
        <v>3104449652.7458677</v>
      </c>
      <c r="I20" s="102">
        <f t="shared" si="3"/>
        <v>3065459627.7771716</v>
      </c>
      <c r="J20" s="102">
        <f t="shared" si="3"/>
        <v>3026959294.1280675</v>
      </c>
      <c r="K20" s="102">
        <f t="shared" si="3"/>
        <v>2988942501.569396</v>
      </c>
      <c r="L20" s="102">
        <f t="shared" si="3"/>
        <v>2951403177.1151857</v>
      </c>
      <c r="M20" s="102">
        <f t="shared" si="3"/>
        <v>2914335324.0525255</v>
      </c>
      <c r="N20" s="102">
        <f t="shared" si="3"/>
        <v>2877733020.9836206</v>
      </c>
      <c r="O20" s="102">
        <f t="shared" si="3"/>
        <v>2841590420.8798795</v>
      </c>
      <c r="P20" s="102">
        <f t="shared" si="3"/>
        <v>2805901750.147881</v>
      </c>
      <c r="Q20" s="102">
        <f t="shared" si="3"/>
        <v>2770661307.7070742</v>
      </c>
      <c r="R20" s="103">
        <f t="shared" si="4"/>
        <v>-2.0844578012389925</v>
      </c>
    </row>
    <row r="21" spans="1:18">
      <c r="A21" s="101">
        <v>1</v>
      </c>
      <c r="B21" s="365">
        <f>A21*'Personal Income Tax'!C$45*(1+'Personal Income Tax'!B$29-'Personal Income Tax'!B$28)*(1+'Personal Income Tax'!C$47)^2*'Personal Income Tax'!C$48*1000*(1+'Personal Income Tax'!F$59)</f>
        <v>3721141906.6324515</v>
      </c>
      <c r="C21" s="102">
        <f t="shared" si="3"/>
        <v>3659497469.8071785</v>
      </c>
      <c r="D21" s="102">
        <f t="shared" si="3"/>
        <v>3598874234.722353</v>
      </c>
      <c r="E21" s="102">
        <f t="shared" si="3"/>
        <v>3539255284.1499424</v>
      </c>
      <c r="F21" s="102">
        <f t="shared" si="3"/>
        <v>3480623981.1127148</v>
      </c>
      <c r="G21" s="102">
        <f t="shared" si="3"/>
        <v>3422963964.2416015</v>
      </c>
      <c r="H21" s="102">
        <f t="shared" si="3"/>
        <v>3366259143.2099752</v>
      </c>
      <c r="I21" s="102">
        <f t="shared" si="3"/>
        <v>3310493694.2435589</v>
      </c>
      <c r="J21" s="102">
        <f t="shared" si="3"/>
        <v>3255652055.70472</v>
      </c>
      <c r="K21" s="102">
        <f t="shared" si="3"/>
        <v>3201718923.7499156</v>
      </c>
      <c r="L21" s="102">
        <f t="shared" si="3"/>
        <v>3148679248.0590744</v>
      </c>
      <c r="M21" s="102">
        <f t="shared" si="3"/>
        <v>3096518227.6357279</v>
      </c>
      <c r="N21" s="102">
        <f t="shared" si="3"/>
        <v>3045221306.6767144</v>
      </c>
      <c r="O21" s="102">
        <f t="shared" si="3"/>
        <v>2994774170.5103083</v>
      </c>
      <c r="P21" s="102">
        <f t="shared" si="3"/>
        <v>2945162741.6016345</v>
      </c>
      <c r="Q21" s="102">
        <f t="shared" si="3"/>
        <v>2896373175.6242619</v>
      </c>
      <c r="R21" s="103">
        <f t="shared" si="4"/>
        <v>-2.7457255385761492</v>
      </c>
    </row>
    <row r="23" spans="1:18">
      <c r="A23" s="97" t="s">
        <v>165</v>
      </c>
    </row>
    <row r="27" spans="1:18">
      <c r="A27" s="104" t="s">
        <v>166</v>
      </c>
      <c r="B27" s="105"/>
      <c r="C27" s="99" t="s">
        <v>167</v>
      </c>
    </row>
    <row r="28" spans="1:18" ht="15">
      <c r="A28" s="359">
        <v>2013</v>
      </c>
      <c r="B28" s="113">
        <v>0.113</v>
      </c>
      <c r="C28" s="97" t="s">
        <v>168</v>
      </c>
    </row>
    <row r="29" spans="1:18" ht="15">
      <c r="A29" s="359">
        <v>2014</v>
      </c>
      <c r="B29" s="113">
        <v>0.13400000000000001</v>
      </c>
      <c r="C29" s="97" t="s">
        <v>168</v>
      </c>
    </row>
    <row r="30" spans="1:18">
      <c r="A30" s="106" t="s">
        <v>169</v>
      </c>
      <c r="B30" s="98"/>
    </row>
    <row r="33" spans="1:3">
      <c r="A33" s="96" t="s">
        <v>170</v>
      </c>
      <c r="C33" s="107"/>
    </row>
    <row r="34" spans="1:3">
      <c r="A34" s="99" t="s">
        <v>171</v>
      </c>
      <c r="B34" s="99" t="s">
        <v>172</v>
      </c>
      <c r="C34" s="108" t="s">
        <v>173</v>
      </c>
    </row>
    <row r="35" spans="1:3" ht="15">
      <c r="A35" s="359" t="s">
        <v>174</v>
      </c>
      <c r="B35" s="359" t="s">
        <v>175</v>
      </c>
      <c r="C35" s="270">
        <v>3901464.2175400001</v>
      </c>
    </row>
    <row r="36" spans="1:3" ht="15">
      <c r="A36" s="359" t="s">
        <v>176</v>
      </c>
      <c r="B36" s="359" t="s">
        <v>175</v>
      </c>
      <c r="C36" s="270">
        <v>1095706.4217999999</v>
      </c>
    </row>
    <row r="37" spans="1:3" ht="15">
      <c r="A37" s="359" t="s">
        <v>177</v>
      </c>
      <c r="B37" s="359" t="s">
        <v>178</v>
      </c>
      <c r="C37" s="270">
        <v>1123453881.2447498</v>
      </c>
    </row>
    <row r="38" spans="1:3" ht="15">
      <c r="A38" s="359" t="s">
        <v>179</v>
      </c>
      <c r="B38" s="359" t="s">
        <v>178</v>
      </c>
      <c r="C38" s="270">
        <v>416204539.89523</v>
      </c>
    </row>
    <row r="39" spans="1:3" ht="15">
      <c r="A39" s="359" t="s">
        <v>180</v>
      </c>
      <c r="B39" s="359" t="s">
        <v>178</v>
      </c>
      <c r="C39" s="270">
        <v>830291841.72168994</v>
      </c>
    </row>
    <row r="40" spans="1:3" ht="15">
      <c r="A40" s="359" t="s">
        <v>181</v>
      </c>
      <c r="B40" s="359" t="s">
        <v>178</v>
      </c>
      <c r="C40" s="270">
        <v>54148583.32305</v>
      </c>
    </row>
    <row r="41" spans="1:3" ht="15">
      <c r="A41" s="359" t="s">
        <v>182</v>
      </c>
      <c r="B41" s="359" t="s">
        <v>178</v>
      </c>
      <c r="C41" s="113">
        <f>C37/(C37+C39)</f>
        <v>0.57502563820790908</v>
      </c>
    </row>
    <row r="42" spans="1:3" ht="15">
      <c r="A42" s="359" t="s">
        <v>183</v>
      </c>
      <c r="B42" s="359" t="s">
        <v>178</v>
      </c>
      <c r="C42" s="113">
        <f>C38/(C38+C40)</f>
        <v>0.88487674334433852</v>
      </c>
    </row>
    <row r="43" spans="1:3" ht="15">
      <c r="A43" s="359" t="s">
        <v>184</v>
      </c>
      <c r="B43" s="359" t="s">
        <v>175</v>
      </c>
      <c r="C43" s="270">
        <f>C41*C35</f>
        <v>2243441.951636259</v>
      </c>
    </row>
    <row r="44" spans="1:3" ht="15">
      <c r="A44" s="359" t="s">
        <v>185</v>
      </c>
      <c r="B44" s="359" t="s">
        <v>175</v>
      </c>
      <c r="C44" s="270">
        <f>C42*C36</f>
        <v>969565.13018386206</v>
      </c>
    </row>
    <row r="45" spans="1:3">
      <c r="A45" s="359" t="s">
        <v>186</v>
      </c>
      <c r="B45" s="359" t="s">
        <v>175</v>
      </c>
      <c r="C45" s="362">
        <f>C43+C44</f>
        <v>3213007.081820121</v>
      </c>
    </row>
    <row r="46" spans="1:3" ht="15">
      <c r="A46" s="359" t="s">
        <v>187</v>
      </c>
      <c r="B46" s="359" t="s">
        <v>178</v>
      </c>
      <c r="C46" s="363">
        <v>2.3525569128540313E-2</v>
      </c>
    </row>
    <row r="47" spans="1:3" ht="15">
      <c r="A47" s="359" t="s">
        <v>187</v>
      </c>
      <c r="B47" s="359" t="s">
        <v>175</v>
      </c>
      <c r="C47" s="363">
        <f>C46</f>
        <v>2.3525569128540313E-2</v>
      </c>
    </row>
    <row r="48" spans="1:3" ht="15">
      <c r="A48" s="359" t="s">
        <v>429</v>
      </c>
      <c r="B48" s="360" t="s">
        <v>178</v>
      </c>
      <c r="C48" s="361">
        <v>1.0150854222820214</v>
      </c>
    </row>
    <row r="49" spans="1:8">
      <c r="C49" s="364"/>
    </row>
    <row r="51" spans="1:8" ht="15">
      <c r="A51" s="371" t="s">
        <v>439</v>
      </c>
      <c r="B51" s="113"/>
      <c r="C51" s="359" t="s">
        <v>438</v>
      </c>
      <c r="D51" s="87" t="s">
        <v>437</v>
      </c>
      <c r="E51"/>
      <c r="F51"/>
      <c r="G51"/>
      <c r="H51"/>
    </row>
    <row r="52" spans="1:8" ht="15">
      <c r="A52" s="367" t="s">
        <v>124</v>
      </c>
      <c r="B52" s="370" t="s">
        <v>436</v>
      </c>
      <c r="C52" s="369" t="s">
        <v>435</v>
      </c>
      <c r="D52" s="369" t="s">
        <v>433</v>
      </c>
      <c r="E52" s="369" t="s">
        <v>434</v>
      </c>
      <c r="F52" s="369" t="s">
        <v>433</v>
      </c>
      <c r="G52" s="369" t="s">
        <v>432</v>
      </c>
      <c r="H52"/>
    </row>
    <row r="53" spans="1:8" ht="15">
      <c r="A53" s="357">
        <v>2014</v>
      </c>
      <c r="B53" s="357">
        <v>1939120</v>
      </c>
      <c r="C53" s="357">
        <v>38973822</v>
      </c>
      <c r="D53" s="357">
        <f>B53/C53</f>
        <v>4.975442234020569E-2</v>
      </c>
      <c r="E53" s="357">
        <v>25821900</v>
      </c>
      <c r="F53" s="357">
        <f>B53/E53</f>
        <v>7.5095945689511612E-2</v>
      </c>
      <c r="G53" s="357">
        <v>20561634</v>
      </c>
      <c r="H53">
        <f>B53/G53</f>
        <v>9.4307680021928214E-2</v>
      </c>
    </row>
    <row r="54" spans="1:8" ht="15">
      <c r="A54" s="357">
        <v>2013</v>
      </c>
      <c r="B54" s="357">
        <v>1851022</v>
      </c>
      <c r="C54" s="357">
        <v>36866615</v>
      </c>
      <c r="D54" s="357">
        <f>B54/C54</f>
        <v>5.0208623710096517E-2</v>
      </c>
      <c r="E54" s="357">
        <v>24967706</v>
      </c>
      <c r="F54" s="357">
        <f>B54/E54</f>
        <v>7.4136646754811991E-2</v>
      </c>
      <c r="G54" s="357">
        <v>19957030</v>
      </c>
      <c r="H54">
        <f>B54/G54</f>
        <v>9.2750374178923414E-2</v>
      </c>
    </row>
    <row r="55" spans="1:8" ht="15">
      <c r="A55" s="357">
        <v>2012</v>
      </c>
      <c r="B55" s="357">
        <v>1835469</v>
      </c>
      <c r="C55" s="357">
        <v>36446848</v>
      </c>
      <c r="D55" s="357">
        <f>B55/C55</f>
        <v>5.0360157344744874E-2</v>
      </c>
      <c r="E55" s="357">
        <v>24512148</v>
      </c>
      <c r="F55" s="357">
        <f>B55/E55</f>
        <v>7.4879973799113805E-2</v>
      </c>
      <c r="G55" s="357">
        <v>19590612</v>
      </c>
      <c r="H55">
        <f>B55/G55</f>
        <v>9.369125374950002E-2</v>
      </c>
    </row>
    <row r="56" spans="1:8" ht="15">
      <c r="A56" s="357">
        <v>2011</v>
      </c>
      <c r="B56" s="357">
        <v>1746321</v>
      </c>
      <c r="C56" s="357">
        <v>34853282</v>
      </c>
      <c r="D56" s="357">
        <f>B56/C56</f>
        <v>5.0104922687051391E-2</v>
      </c>
      <c r="E56" s="357">
        <v>23288741</v>
      </c>
      <c r="F56" s="357">
        <f>B56/E56</f>
        <v>7.4985633615831784E-2</v>
      </c>
      <c r="G56" s="357">
        <v>18782253</v>
      </c>
      <c r="H56">
        <f>B56/G56</f>
        <v>9.2977184366540053E-2</v>
      </c>
    </row>
    <row r="57" spans="1:8" ht="15">
      <c r="A57" s="357">
        <v>2010</v>
      </c>
      <c r="B57" s="357">
        <v>1603750</v>
      </c>
      <c r="C57" s="357">
        <v>32527749</v>
      </c>
      <c r="D57" s="357">
        <f>B57/C57</f>
        <v>4.9304057283521219E-2</v>
      </c>
      <c r="E57" s="357">
        <v>21806721</v>
      </c>
      <c r="F57" s="357">
        <f>B57/E57</f>
        <v>7.3543839993183757E-2</v>
      </c>
      <c r="G57" s="357">
        <v>18002635</v>
      </c>
      <c r="H57">
        <f>B57/G57</f>
        <v>8.9084181287905906E-2</v>
      </c>
    </row>
    <row r="58" spans="1:8" ht="15.75" thickBot="1">
      <c r="A58" s="368" t="s">
        <v>431</v>
      </c>
      <c r="B58" s="357">
        <f>AVERAGE(B53:B57)</f>
        <v>1795136.4</v>
      </c>
      <c r="C58"/>
      <c r="D58" s="357">
        <f>AVERAGE(D53:D57)</f>
        <v>4.9946436673123935E-2</v>
      </c>
      <c r="E58"/>
      <c r="F58" s="357">
        <f>AVERAGE(F53:F57)</f>
        <v>7.4528407970490582E-2</v>
      </c>
      <c r="G58"/>
      <c r="H58" s="357">
        <f>AVERAGE(H53:H57)</f>
        <v>9.2562134720959532E-2</v>
      </c>
    </row>
    <row r="59" spans="1:8" ht="15.75" thickBot="1">
      <c r="A59" s="367" t="s">
        <v>430</v>
      </c>
      <c r="B59" s="113"/>
      <c r="C59"/>
      <c r="D59"/>
      <c r="E59"/>
      <c r="F59" s="366">
        <v>6.6691473581723087E-2</v>
      </c>
      <c r="G59"/>
      <c r="H59"/>
    </row>
  </sheetData>
  <sheetProtection password="CC29" sheet="1" objects="1" scenarios="1"/>
  <dataValidations count="1">
    <dataValidation type="decimal" allowBlank="1" showInputMessage="1" showErrorMessage="1" sqref="A3">
      <formula1>0</formula1>
      <formula2>0.5</formula2>
    </dataValidation>
  </dataValidations>
  <hyperlinks>
    <hyperlink ref="D51" r:id="rId1" location="reqid=70&amp;step=30&amp;isuri=1&amp;7022=2&amp;7023=0&amp;7033=-1&amp;7024=naics&amp;7025=0&amp;7026=02000&amp;7027=2014,2013,2012,2011,2010&amp;7001=42&amp;7028=-1&amp;7031=0&amp;7040=-1&amp;7083=levels&amp;7029=28&amp;7090=70"/>
  </hyperlinks>
  <pageMargins left="0.7" right="0.7" top="0.75" bottom="0.75" header="0.3" footer="0.3"/>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218"/>
  <sheetViews>
    <sheetView zoomScale="68" zoomScaleNormal="68" workbookViewId="0">
      <pane ySplit="1" topLeftCell="A2" activePane="bottomLeft" state="frozen"/>
      <selection activeCell="C2" sqref="C2"/>
      <selection pane="bottomLeft" activeCell="D2" sqref="D2"/>
    </sheetView>
  </sheetViews>
  <sheetFormatPr defaultRowHeight="15"/>
  <cols>
    <col min="1" max="1" width="0.85546875" customWidth="1"/>
    <col min="2" max="2" width="55.85546875" bestFit="1" customWidth="1"/>
    <col min="3" max="3" width="30.28515625" customWidth="1"/>
    <col min="4" max="5" width="2.85546875" customWidth="1"/>
    <col min="6" max="6" width="43.140625" customWidth="1"/>
    <col min="7" max="7" width="43" customWidth="1"/>
    <col min="8" max="9" width="2.85546875" customWidth="1"/>
    <col min="10" max="10" width="55.42578125" customWidth="1"/>
    <col min="11" max="11" width="31.5703125" customWidth="1"/>
  </cols>
  <sheetData>
    <row r="1" spans="2:11" ht="375.75" customHeight="1"/>
    <row r="2" spans="2:11" ht="20.100000000000001" customHeight="1" thickBot="1"/>
    <row r="3" spans="2:11" ht="20.100000000000001" customHeight="1" thickBot="1">
      <c r="B3" s="1152" t="s">
        <v>386</v>
      </c>
      <c r="C3" s="1153"/>
      <c r="F3" s="1154" t="s">
        <v>718</v>
      </c>
      <c r="G3" s="1155"/>
      <c r="J3" s="1152" t="s">
        <v>540</v>
      </c>
      <c r="K3" s="1153"/>
    </row>
    <row r="4" spans="2:11" ht="19.5" customHeight="1" thickBot="1">
      <c r="B4" s="396"/>
      <c r="C4" s="396"/>
    </row>
    <row r="5" spans="2:11" ht="20.100000000000001" customHeight="1">
      <c r="B5" s="420" t="s">
        <v>462</v>
      </c>
      <c r="C5" s="418">
        <v>2.2499999999999999E-2</v>
      </c>
      <c r="F5" s="1168" t="s">
        <v>719</v>
      </c>
      <c r="G5" s="1163">
        <f>'All Rev &amp; Projects'!E239</f>
        <v>0.33</v>
      </c>
      <c r="J5" s="1156" t="s">
        <v>460</v>
      </c>
      <c r="K5" s="1157"/>
    </row>
    <row r="6" spans="2:11" ht="20.100000000000001" customHeight="1" thickBot="1">
      <c r="B6" s="417" t="s">
        <v>534</v>
      </c>
      <c r="C6" s="416"/>
      <c r="F6" s="1169"/>
      <c r="G6" s="1164"/>
      <c r="J6" s="1069" t="s">
        <v>464</v>
      </c>
      <c r="K6" s="1089" t="s">
        <v>465</v>
      </c>
    </row>
    <row r="7" spans="2:11" ht="20.100000000000001" customHeight="1" thickBot="1">
      <c r="B7" s="396"/>
      <c r="C7" s="396"/>
      <c r="F7" s="1169" t="s">
        <v>934</v>
      </c>
      <c r="G7" s="1165">
        <f>'All Rev &amp; Projects'!E235</f>
        <v>0</v>
      </c>
      <c r="J7" s="1069" t="s">
        <v>467</v>
      </c>
      <c r="K7" s="1070"/>
    </row>
    <row r="8" spans="2:11" ht="20.100000000000001" customHeight="1" thickTop="1">
      <c r="B8" s="1158" t="s">
        <v>41</v>
      </c>
      <c r="C8" s="1159"/>
      <c r="F8" s="1169"/>
      <c r="G8" s="1166"/>
      <c r="J8" s="1069" t="s">
        <v>469</v>
      </c>
      <c r="K8" s="1070"/>
    </row>
    <row r="9" spans="2:11" ht="20.100000000000001" customHeight="1" thickBot="1">
      <c r="B9" s="321" t="s">
        <v>388</v>
      </c>
      <c r="C9" s="322"/>
      <c r="F9" s="1170"/>
      <c r="G9" s="1167"/>
      <c r="J9" s="1069" t="s">
        <v>471</v>
      </c>
      <c r="K9" s="1070"/>
    </row>
    <row r="10" spans="2:11" ht="20.100000000000001" customHeight="1">
      <c r="B10" s="348" t="s">
        <v>382</v>
      </c>
      <c r="C10" s="322"/>
      <c r="F10" s="1067"/>
      <c r="G10" s="1067"/>
      <c r="J10" s="1069" t="s">
        <v>473</v>
      </c>
      <c r="K10" s="1070"/>
    </row>
    <row r="11" spans="2:11" ht="20.100000000000001" customHeight="1">
      <c r="B11" s="348" t="s">
        <v>848</v>
      </c>
      <c r="C11" s="322"/>
      <c r="J11" s="1069" t="s">
        <v>475</v>
      </c>
      <c r="K11" s="1070"/>
    </row>
    <row r="12" spans="2:11" ht="20.100000000000001" customHeight="1">
      <c r="B12" s="415" t="s">
        <v>849</v>
      </c>
      <c r="C12" s="327"/>
      <c r="J12" s="1069" t="s">
        <v>477</v>
      </c>
      <c r="K12" s="1070"/>
    </row>
    <row r="13" spans="2:11" ht="20.100000000000001" customHeight="1">
      <c r="B13" s="397" t="s">
        <v>419</v>
      </c>
      <c r="C13" s="351"/>
      <c r="J13" s="1069" t="s">
        <v>479</v>
      </c>
      <c r="K13" s="1070"/>
    </row>
    <row r="14" spans="2:11" ht="20.100000000000001" customHeight="1">
      <c r="B14" s="948" t="s">
        <v>741</v>
      </c>
      <c r="C14" s="351"/>
      <c r="J14" s="1069" t="s">
        <v>481</v>
      </c>
      <c r="K14" s="1070"/>
    </row>
    <row r="15" spans="2:11" ht="20.100000000000001" customHeight="1">
      <c r="B15" s="321" t="s">
        <v>747</v>
      </c>
      <c r="C15" s="322"/>
      <c r="J15" s="1069" t="s">
        <v>483</v>
      </c>
      <c r="K15" s="1070"/>
    </row>
    <row r="16" spans="2:11" ht="20.100000000000001" customHeight="1">
      <c r="B16" s="321" t="s">
        <v>215</v>
      </c>
      <c r="C16" s="322"/>
      <c r="J16" s="1069" t="s">
        <v>485</v>
      </c>
      <c r="K16" s="1070"/>
    </row>
    <row r="17" spans="2:11" ht="20.100000000000001" customHeight="1">
      <c r="B17" s="381" t="s">
        <v>459</v>
      </c>
      <c r="C17" s="325"/>
      <c r="J17" s="1069" t="s">
        <v>487</v>
      </c>
      <c r="K17" s="1070"/>
    </row>
    <row r="18" spans="2:11" ht="20.100000000000001" customHeight="1" thickBot="1">
      <c r="B18" s="421" t="s">
        <v>535</v>
      </c>
      <c r="C18" s="324"/>
      <c r="J18" s="1069" t="s">
        <v>489</v>
      </c>
      <c r="K18" s="1070"/>
    </row>
    <row r="19" spans="2:11" ht="20.100000000000001" customHeight="1" thickTop="1" thickBot="1">
      <c r="B19" s="320"/>
      <c r="C19" s="141"/>
      <c r="J19" s="1069" t="s">
        <v>68</v>
      </c>
      <c r="K19" s="1070"/>
    </row>
    <row r="20" spans="2:11" ht="20.100000000000001" customHeight="1" thickTop="1">
      <c r="B20" s="1158" t="s">
        <v>54</v>
      </c>
      <c r="C20" s="1159"/>
      <c r="J20" s="1069" t="s">
        <v>491</v>
      </c>
      <c r="K20" s="1070"/>
    </row>
    <row r="21" spans="2:11" ht="20.100000000000001" customHeight="1">
      <c r="B21" s="326" t="s">
        <v>58</v>
      </c>
      <c r="C21" s="327"/>
      <c r="J21" s="1069" t="s">
        <v>493</v>
      </c>
      <c r="K21" s="1070"/>
    </row>
    <row r="22" spans="2:11" ht="20.100000000000001" customHeight="1">
      <c r="B22" s="336" t="s">
        <v>335</v>
      </c>
      <c r="C22" s="335"/>
      <c r="J22" s="1069" t="s">
        <v>494</v>
      </c>
      <c r="K22" s="1070"/>
    </row>
    <row r="23" spans="2:11" ht="20.100000000000001" customHeight="1">
      <c r="B23" s="329" t="s">
        <v>458</v>
      </c>
      <c r="C23" s="327"/>
      <c r="J23" s="1069" t="s">
        <v>495</v>
      </c>
      <c r="K23" s="1070"/>
    </row>
    <row r="24" spans="2:11" ht="20.100000000000001" customHeight="1">
      <c r="B24" s="331" t="s">
        <v>409</v>
      </c>
      <c r="C24" s="327"/>
      <c r="J24" s="1069" t="s">
        <v>496</v>
      </c>
      <c r="K24" s="1070"/>
    </row>
    <row r="25" spans="2:11" ht="20.100000000000001" customHeight="1">
      <c r="B25" s="329" t="s">
        <v>843</v>
      </c>
      <c r="C25" s="327"/>
      <c r="J25" s="1069" t="s">
        <v>497</v>
      </c>
      <c r="K25" s="1070"/>
    </row>
    <row r="26" spans="2:11" ht="20.100000000000001" customHeight="1">
      <c r="B26" s="333" t="s">
        <v>389</v>
      </c>
      <c r="C26" s="327"/>
      <c r="J26" s="1071"/>
      <c r="K26" s="1055"/>
    </row>
    <row r="27" spans="2:11" ht="20.100000000000001" customHeight="1" thickBot="1">
      <c r="B27" s="328" t="s">
        <v>216</v>
      </c>
      <c r="C27" s="325"/>
      <c r="J27" s="1069" t="s">
        <v>498</v>
      </c>
      <c r="K27" s="1090" t="s">
        <v>499</v>
      </c>
    </row>
    <row r="28" spans="2:11" ht="20.100000000000001" customHeight="1" thickBot="1">
      <c r="B28" s="350" t="s">
        <v>536</v>
      </c>
      <c r="C28" s="324"/>
      <c r="F28" s="1160" t="s">
        <v>750</v>
      </c>
      <c r="G28" s="1160"/>
      <c r="J28" s="1072">
        <v>2017</v>
      </c>
      <c r="K28" s="1070"/>
    </row>
    <row r="29" spans="2:11" ht="20.100000000000001" customHeight="1" thickTop="1" thickBot="1">
      <c r="B29" s="20"/>
      <c r="C29" s="141"/>
      <c r="J29" s="1072">
        <v>2018</v>
      </c>
      <c r="K29" s="1070"/>
    </row>
    <row r="30" spans="2:11" ht="20.100000000000001" customHeight="1" thickTop="1">
      <c r="B30" s="1158" t="s">
        <v>287</v>
      </c>
      <c r="C30" s="1159"/>
      <c r="J30" s="1072">
        <v>2019</v>
      </c>
      <c r="K30" s="1070"/>
    </row>
    <row r="31" spans="2:11" ht="20.100000000000001" customHeight="1">
      <c r="B31" s="336" t="s">
        <v>537</v>
      </c>
      <c r="C31" s="337"/>
      <c r="J31" s="1072">
        <v>2020</v>
      </c>
      <c r="K31" s="1070"/>
    </row>
    <row r="32" spans="2:11" ht="20.100000000000001" customHeight="1">
      <c r="B32" s="334" t="s">
        <v>250</v>
      </c>
      <c r="C32" s="335"/>
      <c r="J32" s="1072">
        <v>2021</v>
      </c>
      <c r="K32" s="1070"/>
    </row>
    <row r="33" spans="2:11" ht="20.100000000000001" customHeight="1">
      <c r="B33" s="1083" t="s">
        <v>874</v>
      </c>
      <c r="C33" s="1082"/>
      <c r="J33" s="1072">
        <v>2022</v>
      </c>
      <c r="K33" s="1070"/>
    </row>
    <row r="34" spans="2:11" ht="20.100000000000001" customHeight="1">
      <c r="B34" s="330" t="s">
        <v>284</v>
      </c>
      <c r="C34" s="327"/>
      <c r="J34" s="1072">
        <v>2023</v>
      </c>
      <c r="K34" s="1070"/>
    </row>
    <row r="35" spans="2:11" ht="20.100000000000001" customHeight="1">
      <c r="B35" s="334" t="s">
        <v>244</v>
      </c>
      <c r="C35" s="335"/>
      <c r="J35" s="1072">
        <v>2024</v>
      </c>
      <c r="K35" s="1070"/>
    </row>
    <row r="36" spans="2:11" ht="20.100000000000001" customHeight="1">
      <c r="B36" s="1161" t="s">
        <v>875</v>
      </c>
      <c r="C36" s="1082"/>
      <c r="J36" s="1072">
        <v>2025</v>
      </c>
      <c r="K36" s="1070"/>
    </row>
    <row r="37" spans="2:11" ht="20.100000000000001" customHeight="1">
      <c r="B37" s="1162"/>
      <c r="C37" s="1084"/>
      <c r="J37" s="1072">
        <v>2026</v>
      </c>
      <c r="K37" s="1070"/>
    </row>
    <row r="38" spans="2:11" ht="20.100000000000001" customHeight="1">
      <c r="B38" s="1080" t="s">
        <v>874</v>
      </c>
      <c r="C38" s="1082"/>
      <c r="J38" s="1072">
        <v>2027</v>
      </c>
      <c r="K38" s="1070"/>
    </row>
    <row r="39" spans="2:11" ht="20.100000000000001" customHeight="1">
      <c r="B39" s="331" t="s">
        <v>284</v>
      </c>
      <c r="C39" s="327"/>
      <c r="J39" s="1072">
        <v>2028</v>
      </c>
      <c r="K39" s="1070"/>
    </row>
    <row r="40" spans="2:11" ht="20.100000000000001" customHeight="1">
      <c r="B40" s="331" t="s">
        <v>285</v>
      </c>
      <c r="C40" s="327"/>
      <c r="J40" s="1072">
        <v>2029</v>
      </c>
      <c r="K40" s="1070"/>
    </row>
    <row r="41" spans="2:11" ht="20.100000000000001" customHeight="1" thickBot="1">
      <c r="B41" s="336" t="s">
        <v>538</v>
      </c>
      <c r="C41" s="335"/>
      <c r="J41" s="1073">
        <v>2030</v>
      </c>
      <c r="K41" s="1074"/>
    </row>
    <row r="42" spans="2:11" ht="20.100000000000001" customHeight="1" thickBot="1">
      <c r="B42" s="334" t="s">
        <v>250</v>
      </c>
      <c r="C42" s="335"/>
    </row>
    <row r="43" spans="2:11" ht="20.100000000000001" customHeight="1">
      <c r="B43" s="331" t="s">
        <v>275</v>
      </c>
      <c r="C43" s="327"/>
      <c r="J43" s="1156" t="s">
        <v>724</v>
      </c>
      <c r="K43" s="1157"/>
    </row>
    <row r="44" spans="2:11" ht="20.100000000000001" customHeight="1" thickBot="1">
      <c r="B44" s="331" t="s">
        <v>242</v>
      </c>
      <c r="C44" s="327"/>
      <c r="J44" s="1068" t="s">
        <v>725</v>
      </c>
      <c r="K44" s="891"/>
    </row>
    <row r="45" spans="2:11" ht="20.100000000000001" customHeight="1" thickBot="1">
      <c r="B45" s="334" t="s">
        <v>244</v>
      </c>
      <c r="C45" s="335"/>
    </row>
    <row r="46" spans="2:11" ht="45">
      <c r="B46" s="330" t="s">
        <v>243</v>
      </c>
      <c r="C46" s="327"/>
      <c r="F46" s="1160" t="s">
        <v>933</v>
      </c>
      <c r="G46" s="1160"/>
    </row>
    <row r="47" spans="2:11" ht="22.5" customHeight="1" thickBot="1">
      <c r="B47" s="332" t="s">
        <v>242</v>
      </c>
      <c r="C47" s="324"/>
    </row>
    <row r="48" spans="2:11" ht="20.100000000000001" customHeight="1" thickTop="1" thickBot="1">
      <c r="C48" s="141"/>
      <c r="F48" s="1152" t="s">
        <v>950</v>
      </c>
      <c r="G48" s="1153"/>
    </row>
    <row r="49" spans="2:7" ht="20.100000000000001" customHeight="1" thickTop="1" thickBot="1">
      <c r="B49" s="1158" t="s">
        <v>44</v>
      </c>
      <c r="C49" s="1159"/>
      <c r="F49" s="979"/>
      <c r="G49" s="979"/>
    </row>
    <row r="50" spans="2:7" ht="20.100000000000001" customHeight="1">
      <c r="B50" s="1139" t="s">
        <v>942</v>
      </c>
      <c r="C50" s="322"/>
      <c r="F50" s="892" t="s">
        <v>720</v>
      </c>
      <c r="G50" s="980"/>
    </row>
    <row r="51" spans="2:7" ht="20.100000000000001" customHeight="1" thickBot="1">
      <c r="B51" s="976" t="s">
        <v>44</v>
      </c>
      <c r="C51" s="324"/>
      <c r="F51" s="127" t="s">
        <v>754</v>
      </c>
      <c r="G51" s="981"/>
    </row>
    <row r="52" spans="2:7" ht="20.100000000000001" customHeight="1" thickTop="1" thickBot="1">
      <c r="B52" s="3"/>
      <c r="F52" s="893" t="s">
        <v>721</v>
      </c>
      <c r="G52" s="982"/>
    </row>
    <row r="53" spans="2:7" ht="20.100000000000001" customHeight="1" thickTop="1" thickBot="1">
      <c r="B53" s="1158" t="s">
        <v>423</v>
      </c>
      <c r="C53" s="1159"/>
    </row>
    <row r="54" spans="2:7" ht="20.100000000000001" customHeight="1" thickBot="1">
      <c r="B54" s="323" t="s">
        <v>424</v>
      </c>
      <c r="C54" s="324"/>
      <c r="F54" s="1154" t="s">
        <v>545</v>
      </c>
      <c r="G54" s="1155"/>
    </row>
    <row r="55" spans="2:7" ht="20.100000000000001" customHeight="1" thickTop="1" thickBot="1">
      <c r="B55" s="3"/>
    </row>
    <row r="56" spans="2:7" ht="20.100000000000001" customHeight="1" thickTop="1">
      <c r="B56" s="1158" t="s">
        <v>426</v>
      </c>
      <c r="C56" s="1159"/>
      <c r="F56" s="883" t="s">
        <v>546</v>
      </c>
      <c r="G56" s="884" t="str">
        <f>IFERROR(IF(G57&lt;G58,G58,G57),"Funds remain through 2030")</f>
        <v xml:space="preserve"> FY 2021</v>
      </c>
    </row>
    <row r="57" spans="2:7" ht="20.100000000000001" customHeight="1" thickBot="1">
      <c r="B57" s="323" t="s">
        <v>428</v>
      </c>
      <c r="C57" s="324"/>
      <c r="F57" s="885" t="s">
        <v>753</v>
      </c>
      <c r="G57" s="886" t="str">
        <f>IFERROR(" "&amp;INDEX('All Rev &amp; Projects'!E201:T201,MATCH(0,'All Rev &amp; Projects'!E205:T205,0)),"Funds remain through 2030")</f>
        <v xml:space="preserve"> FY 2019</v>
      </c>
    </row>
    <row r="58" spans="2:7" ht="20.100000000000001" customHeight="1" thickTop="1" thickBot="1">
      <c r="B58" s="3"/>
      <c r="F58" s="887" t="s">
        <v>547</v>
      </c>
      <c r="G58" s="888" t="str">
        <f>IFERROR(" "&amp;INDEX('All Rev &amp; Projects'!E201:T201,MATCH(0,'All Rev &amp; Projects'!E208:T208,0)),"Funds remain through 2030")</f>
        <v xml:space="preserve"> FY 2021</v>
      </c>
    </row>
    <row r="59" spans="2:7" ht="20.100000000000001" customHeight="1" thickTop="1">
      <c r="B59" s="1158" t="s">
        <v>46</v>
      </c>
      <c r="C59" s="1159"/>
    </row>
    <row r="60" spans="2:7" ht="20.100000000000001" customHeight="1">
      <c r="B60" s="321" t="s">
        <v>844</v>
      </c>
      <c r="C60" s="322"/>
    </row>
    <row r="61" spans="2:7" ht="20.100000000000001" customHeight="1">
      <c r="B61" s="948" t="s">
        <v>676</v>
      </c>
      <c r="C61" s="327"/>
    </row>
    <row r="62" spans="2:7" ht="20.100000000000001" customHeight="1" thickBot="1">
      <c r="B62" s="976" t="s">
        <v>835</v>
      </c>
      <c r="C62" s="977"/>
    </row>
    <row r="63" spans="2:7" ht="20.100000000000001" customHeight="1" thickTop="1" thickBot="1">
      <c r="B63" s="3"/>
    </row>
    <row r="64" spans="2:7" ht="20.100000000000001" customHeight="1" thickTop="1">
      <c r="B64" s="1158" t="s">
        <v>48</v>
      </c>
      <c r="C64" s="1159"/>
    </row>
    <row r="65" spans="2:3" ht="20.100000000000001" customHeight="1">
      <c r="B65" s="321" t="s">
        <v>49</v>
      </c>
      <c r="C65" s="322"/>
    </row>
    <row r="66" spans="2:3" ht="20.100000000000001" customHeight="1">
      <c r="B66" s="321" t="s">
        <v>677</v>
      </c>
      <c r="C66" s="322"/>
    </row>
    <row r="67" spans="2:3" ht="20.100000000000001" customHeight="1">
      <c r="B67" s="321" t="s">
        <v>364</v>
      </c>
      <c r="C67" s="322"/>
    </row>
    <row r="68" spans="2:3" ht="20.100000000000001" customHeight="1">
      <c r="B68" s="321" t="s">
        <v>367</v>
      </c>
      <c r="C68" s="322"/>
    </row>
    <row r="69" spans="2:3" ht="20.100000000000001" customHeight="1" thickBot="1">
      <c r="B69" s="323" t="s">
        <v>366</v>
      </c>
      <c r="C69" s="324"/>
    </row>
    <row r="70" spans="2:3" ht="20.100000000000001" customHeight="1" thickTop="1" thickBot="1">
      <c r="B70" s="3"/>
    </row>
    <row r="71" spans="2:3" ht="20.100000000000001" customHeight="1" thickTop="1">
      <c r="B71" s="1158" t="s">
        <v>422</v>
      </c>
      <c r="C71" s="1159"/>
    </row>
    <row r="72" spans="2:3" ht="20.100000000000001" customHeight="1">
      <c r="B72" s="321" t="s">
        <v>420</v>
      </c>
      <c r="C72" s="322"/>
    </row>
    <row r="73" spans="2:3" ht="20.100000000000001" customHeight="1" thickBot="1">
      <c r="B73" s="323" t="s">
        <v>899</v>
      </c>
      <c r="C73" s="324"/>
    </row>
    <row r="74" spans="2:3" ht="20.100000000000001" customHeight="1" thickTop="1" thickBot="1">
      <c r="B74" s="3"/>
    </row>
    <row r="75" spans="2:3" ht="20.100000000000001" customHeight="1">
      <c r="B75" s="1156" t="s">
        <v>51</v>
      </c>
      <c r="C75" s="1157"/>
    </row>
    <row r="76" spans="2:3" ht="20.100000000000001" customHeight="1">
      <c r="B76" s="972" t="s">
        <v>52</v>
      </c>
      <c r="C76" s="873"/>
    </row>
    <row r="77" spans="2:3" ht="20.100000000000001" customHeight="1" thickBot="1">
      <c r="B77" s="893" t="s">
        <v>797</v>
      </c>
      <c r="C77" s="891"/>
    </row>
    <row r="78" spans="2:3" ht="20.100000000000001" customHeight="1" thickBot="1">
      <c r="B78" s="3"/>
    </row>
    <row r="79" spans="2:3" ht="20.100000000000001" customHeight="1" thickTop="1">
      <c r="B79" s="1158" t="s">
        <v>55</v>
      </c>
      <c r="C79" s="1159"/>
    </row>
    <row r="80" spans="2:3" ht="20.100000000000001" customHeight="1" thickBot="1">
      <c r="B80" s="323" t="s">
        <v>55</v>
      </c>
      <c r="C80" s="324"/>
    </row>
    <row r="81" spans="2:3" ht="20.100000000000001" customHeight="1" thickTop="1" thickBot="1">
      <c r="B81" s="3"/>
    </row>
    <row r="82" spans="2:3" ht="20.100000000000001" customHeight="1" thickTop="1">
      <c r="B82" s="1158" t="s">
        <v>56</v>
      </c>
      <c r="C82" s="1159"/>
    </row>
    <row r="83" spans="2:3" ht="20.100000000000001" customHeight="1" thickBot="1">
      <c r="B83" s="323" t="s">
        <v>56</v>
      </c>
      <c r="C83" s="324"/>
    </row>
    <row r="84" spans="2:3" ht="20.100000000000001" customHeight="1" thickTop="1" thickBot="1">
      <c r="B84" s="3"/>
    </row>
    <row r="85" spans="2:3" ht="20.100000000000001" customHeight="1" thickTop="1">
      <c r="B85" s="1158" t="s">
        <v>57</v>
      </c>
      <c r="C85" s="1159"/>
    </row>
    <row r="86" spans="2:3" ht="20.100000000000001" customHeight="1" thickBot="1">
      <c r="B86" s="323" t="s">
        <v>292</v>
      </c>
      <c r="C86" s="324"/>
    </row>
    <row r="87" spans="2:3" ht="20.100000000000001" customHeight="1" thickTop="1" thickBot="1">
      <c r="B87" s="3"/>
    </row>
    <row r="88" spans="2:3" ht="20.100000000000001" customHeight="1">
      <c r="B88" s="1156" t="s">
        <v>816</v>
      </c>
      <c r="C88" s="1157"/>
    </row>
    <row r="89" spans="2:3" ht="20.100000000000001" customHeight="1">
      <c r="B89" s="1054" t="s">
        <v>932</v>
      </c>
      <c r="C89" s="1055"/>
    </row>
    <row r="90" spans="2:3" ht="20.100000000000001" customHeight="1">
      <c r="B90" s="1054" t="s">
        <v>845</v>
      </c>
      <c r="C90" s="1055"/>
    </row>
    <row r="91" spans="2:3" ht="20.100000000000001" customHeight="1">
      <c r="B91" s="1056" t="s">
        <v>846</v>
      </c>
      <c r="C91" s="1055"/>
    </row>
    <row r="92" spans="2:3" ht="20.100000000000001" customHeight="1">
      <c r="B92" s="1056" t="s">
        <v>842</v>
      </c>
      <c r="C92" s="1055" t="s">
        <v>543</v>
      </c>
    </row>
    <row r="93" spans="2:3" ht="19.5" customHeight="1" thickBot="1">
      <c r="B93" s="1057" t="s">
        <v>824</v>
      </c>
      <c r="C93" s="1058"/>
    </row>
    <row r="94" spans="2:3" ht="21" customHeight="1" thickBot="1">
      <c r="B94" s="3"/>
    </row>
    <row r="95" spans="2:3" ht="20.100000000000001" customHeight="1">
      <c r="B95" s="1156" t="s">
        <v>669</v>
      </c>
      <c r="C95" s="1157"/>
    </row>
    <row r="96" spans="2:3" ht="20.100000000000001" customHeight="1" thickBot="1">
      <c r="B96" s="978" t="s">
        <v>836</v>
      </c>
      <c r="C96" s="891" t="s">
        <v>543</v>
      </c>
    </row>
    <row r="97" spans="1:14" ht="20.100000000000001" customHeight="1" thickBot="1">
      <c r="B97" s="3"/>
    </row>
    <row r="98" spans="1:14" ht="20.100000000000001" customHeight="1">
      <c r="B98" s="1156" t="s">
        <v>387</v>
      </c>
      <c r="C98" s="1157"/>
    </row>
    <row r="99" spans="1:14" ht="20.100000000000001" customHeight="1">
      <c r="B99" s="1130" t="s">
        <v>16</v>
      </c>
      <c r="C99" s="1029"/>
    </row>
    <row r="100" spans="1:14" ht="20.100000000000001" customHeight="1">
      <c r="B100" s="1030" t="s">
        <v>539</v>
      </c>
      <c r="C100" s="1029"/>
    </row>
    <row r="101" spans="1:14" ht="20.100000000000001" customHeight="1">
      <c r="B101" s="1031" t="s">
        <v>18</v>
      </c>
      <c r="C101" s="1032"/>
    </row>
    <row r="102" spans="1:14" ht="20.100000000000001" customHeight="1">
      <c r="B102" s="1030" t="s">
        <v>27</v>
      </c>
      <c r="C102" s="1029"/>
    </row>
    <row r="103" spans="1:14" ht="20.100000000000001" customHeight="1">
      <c r="B103" s="1030" t="s">
        <v>821</v>
      </c>
      <c r="C103" s="1029"/>
    </row>
    <row r="104" spans="1:14" ht="20.100000000000001" customHeight="1" thickBot="1">
      <c r="B104" s="417" t="s">
        <v>828</v>
      </c>
      <c r="C104" s="891"/>
    </row>
    <row r="105" spans="1:14" ht="20.100000000000001" customHeight="1"/>
    <row r="106" spans="1:14" ht="20.100000000000001" customHeight="1"/>
    <row r="107" spans="1:14" ht="20.100000000000001" customHeight="1">
      <c r="A107" s="1151" t="s">
        <v>949</v>
      </c>
      <c r="B107" s="1151"/>
      <c r="C107" s="1151"/>
      <c r="D107" s="1151"/>
      <c r="E107" s="1151"/>
      <c r="F107" s="1151"/>
      <c r="G107" s="1151"/>
      <c r="H107" s="1151"/>
      <c r="I107" s="1151"/>
      <c r="J107" s="1151"/>
      <c r="K107" s="1151"/>
      <c r="L107" s="1151"/>
    </row>
    <row r="108" spans="1:14" ht="20.100000000000001" hidden="1" customHeight="1"/>
    <row r="109" spans="1:14" ht="20.100000000000001" customHeight="1">
      <c r="J109" s="951"/>
      <c r="K109" s="951"/>
    </row>
    <row r="110" spans="1:14" ht="20.100000000000001" customHeight="1">
      <c r="F110" s="951"/>
      <c r="G110" s="951"/>
      <c r="J110" s="114"/>
      <c r="K110" s="114"/>
    </row>
    <row r="111" spans="1:14" ht="20.100000000000001" customHeight="1">
      <c r="A111" s="114"/>
      <c r="D111" s="951"/>
      <c r="E111" s="951"/>
      <c r="F111" s="114"/>
      <c r="G111" s="114"/>
      <c r="H111" s="951"/>
      <c r="I111" s="951"/>
      <c r="J111" s="114"/>
      <c r="K111" s="114"/>
      <c r="L111" s="951"/>
      <c r="M111" s="951"/>
      <c r="N111" s="114"/>
    </row>
    <row r="112" spans="1:14" ht="20.100000000000001" customHeight="1">
      <c r="A112" s="114"/>
      <c r="B112" s="114"/>
      <c r="C112" s="114"/>
      <c r="D112" s="951"/>
      <c r="E112" s="951"/>
      <c r="F112" s="114"/>
      <c r="G112" s="114"/>
      <c r="H112" s="114"/>
      <c r="I112" s="114"/>
      <c r="L112" s="114"/>
      <c r="M112" s="114"/>
      <c r="N112" s="114"/>
    </row>
    <row r="113" spans="1:14" ht="20.100000000000001" customHeight="1">
      <c r="A113" s="114"/>
      <c r="B113" s="951"/>
      <c r="C113" s="951"/>
      <c r="D113" s="114"/>
      <c r="E113" s="114"/>
      <c r="H113" s="114"/>
      <c r="I113" s="114"/>
      <c r="L113" s="114"/>
      <c r="M113" s="114"/>
      <c r="N113" s="114"/>
    </row>
    <row r="114" spans="1:14" ht="20.100000000000001" customHeight="1">
      <c r="B114" s="951"/>
      <c r="C114" s="951"/>
    </row>
    <row r="115" spans="1:14" ht="20.100000000000001" customHeight="1"/>
    <row r="116" spans="1:14" ht="20.100000000000001" customHeight="1"/>
    <row r="117" spans="1:14" ht="20.100000000000001" customHeight="1"/>
    <row r="118" spans="1:14" ht="20.100000000000001" customHeight="1"/>
    <row r="119" spans="1:14" ht="20.100000000000001" customHeight="1"/>
    <row r="120" spans="1:14" ht="20.100000000000001" customHeight="1"/>
    <row r="121" spans="1:14" ht="20.100000000000001" customHeight="1"/>
    <row r="122" spans="1:14" ht="20.100000000000001" customHeight="1"/>
    <row r="123" spans="1:14" ht="20.100000000000001" customHeight="1"/>
    <row r="124" spans="1:14" ht="20.100000000000001" customHeight="1"/>
    <row r="125" spans="1:14" ht="20.100000000000001" customHeight="1"/>
    <row r="126" spans="1:14" ht="20.100000000000001" customHeight="1"/>
    <row r="127" spans="1:14" ht="20.100000000000001" customHeight="1"/>
    <row r="128" spans="1:14" ht="20.100000000000001" customHeight="1"/>
    <row r="129" spans="2:2" ht="20.100000000000001" customHeight="1"/>
    <row r="130" spans="2:2" ht="20.100000000000001" customHeight="1"/>
    <row r="131" spans="2:2" ht="20.100000000000001" customHeight="1">
      <c r="B131" s="1106">
        <f>IF(MIN('All Rev &amp; Projects'!E205:T205)=0,IF(MIN('All Rev &amp; Projects'!E208:T208)=0,2,1),0)</f>
        <v>2</v>
      </c>
    </row>
    <row r="132" spans="2:2" ht="20.100000000000001" customHeight="1"/>
    <row r="133" spans="2:2" ht="20.100000000000001" customHeight="1"/>
    <row r="134" spans="2:2" ht="20.100000000000001" customHeight="1"/>
    <row r="135" spans="2:2" ht="20.100000000000001" customHeight="1"/>
    <row r="136" spans="2:2" ht="20.100000000000001" customHeight="1"/>
    <row r="137" spans="2:2" ht="20.100000000000001" customHeight="1"/>
    <row r="138" spans="2:2" ht="20.100000000000001" customHeight="1"/>
    <row r="139" spans="2:2" ht="20.100000000000001" customHeight="1"/>
    <row r="140" spans="2:2" ht="20.100000000000001" customHeight="1"/>
    <row r="141" spans="2:2" ht="20.100000000000001" customHeight="1"/>
    <row r="142" spans="2:2" ht="20.100000000000001" customHeight="1"/>
    <row r="143" spans="2:2" ht="20.100000000000001" customHeight="1"/>
    <row r="144" spans="2:2" ht="20.100000000000001" customHeight="1"/>
    <row r="145" spans="2:11" ht="20.100000000000001" customHeight="1"/>
    <row r="146" spans="2:11" ht="20.100000000000001" customHeight="1"/>
    <row r="147" spans="2:11" ht="20.100000000000001" customHeight="1"/>
    <row r="148" spans="2:11" ht="20.100000000000001" customHeight="1">
      <c r="D148" s="1106"/>
      <c r="E148" s="1106"/>
      <c r="F148" s="1106"/>
      <c r="G148" s="1106"/>
      <c r="H148" s="1106"/>
      <c r="I148" s="1106"/>
      <c r="J148" s="1106"/>
    </row>
    <row r="149" spans="2:11" ht="20.100000000000001" customHeight="1">
      <c r="B149" s="1106"/>
      <c r="C149" s="1106"/>
      <c r="D149" s="1106"/>
      <c r="E149" s="1106"/>
      <c r="F149" s="1106"/>
      <c r="G149" s="1106"/>
      <c r="H149" s="1106"/>
      <c r="I149" s="1106"/>
      <c r="J149" s="1106"/>
    </row>
    <row r="150" spans="2:11">
      <c r="B150" s="1106"/>
      <c r="C150" s="1106"/>
      <c r="D150" s="1106"/>
      <c r="E150" s="1106"/>
      <c r="F150" s="1106"/>
      <c r="G150" s="1106"/>
      <c r="H150" s="1106"/>
      <c r="I150" s="1106"/>
      <c r="J150" s="1106"/>
    </row>
    <row r="151" spans="2:11">
      <c r="B151" s="1106"/>
      <c r="C151" s="1106"/>
      <c r="D151" s="1106"/>
      <c r="E151" s="1106"/>
      <c r="F151" s="1106"/>
      <c r="G151" s="1106"/>
      <c r="H151" s="1106"/>
      <c r="I151" s="1106"/>
      <c r="J151" s="1106"/>
    </row>
    <row r="152" spans="2:11">
      <c r="B152" s="1106"/>
      <c r="C152" s="1106"/>
      <c r="D152" s="1108">
        <f t="shared" ref="D152:D177" si="0">C154</f>
        <v>0</v>
      </c>
      <c r="E152" s="1107">
        <v>-1</v>
      </c>
      <c r="F152" s="1106"/>
      <c r="G152" s="1106"/>
      <c r="H152" s="1106"/>
      <c r="I152" s="1106"/>
      <c r="J152" s="1106"/>
    </row>
    <row r="153" spans="2:11">
      <c r="B153" s="1107"/>
      <c r="C153" s="1107"/>
      <c r="D153" s="1109">
        <f t="shared" si="0"/>
        <v>9.9999999999999967E-3</v>
      </c>
      <c r="E153" s="1107">
        <v>-0.95</v>
      </c>
      <c r="F153" s="1106"/>
      <c r="G153" s="1106"/>
      <c r="H153" s="1106"/>
      <c r="I153" s="1106"/>
      <c r="J153" s="1106"/>
    </row>
    <row r="154" spans="2:11">
      <c r="B154" s="1107">
        <v>0</v>
      </c>
      <c r="C154" s="1107">
        <f>C155-0.01</f>
        <v>0</v>
      </c>
      <c r="D154" s="1109">
        <f t="shared" si="0"/>
        <v>1.9999999999999997E-2</v>
      </c>
      <c r="E154" s="1107">
        <v>-0.9</v>
      </c>
      <c r="F154" s="1106"/>
      <c r="G154" s="1106"/>
      <c r="H154" s="1106"/>
      <c r="I154" s="1106"/>
      <c r="J154" s="1106"/>
    </row>
    <row r="155" spans="2:11">
      <c r="B155" s="1107">
        <v>0.05</v>
      </c>
      <c r="C155" s="1107">
        <f>C156-0.01</f>
        <v>9.9999999999999967E-3</v>
      </c>
      <c r="D155" s="1109">
        <f t="shared" si="0"/>
        <v>0.03</v>
      </c>
      <c r="E155" s="1107">
        <v>-0.85</v>
      </c>
      <c r="F155" s="1106"/>
      <c r="G155" s="1110">
        <v>0.04</v>
      </c>
      <c r="H155" s="1106"/>
      <c r="I155" s="1106"/>
      <c r="J155" s="1111">
        <v>0.1</v>
      </c>
      <c r="K155" s="1106">
        <v>1</v>
      </c>
    </row>
    <row r="156" spans="2:11">
      <c r="B156" s="1107">
        <f>B155+0.05</f>
        <v>0.1</v>
      </c>
      <c r="C156" s="1107">
        <f>C157-0.01</f>
        <v>1.9999999999999997E-2</v>
      </c>
      <c r="D156" s="1109">
        <f t="shared" si="0"/>
        <v>0.04</v>
      </c>
      <c r="E156" s="1107">
        <v>-0.8</v>
      </c>
      <c r="F156" s="1106"/>
      <c r="G156" s="1110">
        <v>4.4999999999999998E-2</v>
      </c>
      <c r="H156" s="1106"/>
      <c r="I156" s="1106"/>
      <c r="J156" s="1112">
        <f>J155+0.1</f>
        <v>0.2</v>
      </c>
      <c r="K156" s="1106">
        <v>2</v>
      </c>
    </row>
    <row r="157" spans="2:11">
      <c r="B157" s="1107">
        <f>B156+0.05</f>
        <v>0.15000000000000002</v>
      </c>
      <c r="C157" s="1107">
        <f>C158-0.01</f>
        <v>0.03</v>
      </c>
      <c r="D157" s="1109">
        <f t="shared" si="0"/>
        <v>0.05</v>
      </c>
      <c r="E157" s="1107">
        <v>-0.75</v>
      </c>
      <c r="F157" s="1106"/>
      <c r="G157" s="1110">
        <v>0.05</v>
      </c>
      <c r="H157" s="1106"/>
      <c r="I157" s="1106"/>
      <c r="J157" s="1112">
        <f t="shared" ref="J157:J164" si="1">J156+0.1</f>
        <v>0.30000000000000004</v>
      </c>
      <c r="K157" s="1106">
        <v>3</v>
      </c>
    </row>
    <row r="158" spans="2:11">
      <c r="B158" s="1107">
        <f>B157+0.05</f>
        <v>0.2</v>
      </c>
      <c r="C158" s="1107">
        <f>C159-0.01</f>
        <v>0.04</v>
      </c>
      <c r="D158" s="1109">
        <f t="shared" si="0"/>
        <v>6.0000000000000005E-2</v>
      </c>
      <c r="E158" s="1107">
        <v>-0.7</v>
      </c>
      <c r="F158" s="1106"/>
      <c r="G158" s="1106"/>
      <c r="H158" s="1106"/>
      <c r="I158" s="1106"/>
      <c r="J158" s="1112">
        <f t="shared" si="1"/>
        <v>0.4</v>
      </c>
      <c r="K158" s="1106">
        <v>4</v>
      </c>
    </row>
    <row r="159" spans="2:11">
      <c r="B159" s="1107">
        <f t="shared" ref="B159:B174" si="2">B158+0.05</f>
        <v>0.25</v>
      </c>
      <c r="C159" s="1107">
        <v>0.05</v>
      </c>
      <c r="D159" s="1109">
        <f t="shared" si="0"/>
        <v>7.0000000000000007E-2</v>
      </c>
      <c r="E159" s="1107">
        <v>-0.65</v>
      </c>
      <c r="F159" s="1106"/>
      <c r="G159" s="1106"/>
      <c r="H159" s="1106"/>
      <c r="I159" s="1106"/>
      <c r="J159" s="1112">
        <f t="shared" si="1"/>
        <v>0.5</v>
      </c>
      <c r="K159" s="1106">
        <v>5</v>
      </c>
    </row>
    <row r="160" spans="2:11">
      <c r="B160" s="1107">
        <f t="shared" si="2"/>
        <v>0.3</v>
      </c>
      <c r="C160" s="1107">
        <f>C159+0.01</f>
        <v>6.0000000000000005E-2</v>
      </c>
      <c r="D160" s="1109">
        <f t="shared" si="0"/>
        <v>0.08</v>
      </c>
      <c r="E160" s="1107">
        <v>-0.6</v>
      </c>
      <c r="F160" s="1106"/>
      <c r="G160" s="1106"/>
      <c r="H160" s="1106"/>
      <c r="I160" s="1106"/>
      <c r="J160" s="1112">
        <f t="shared" si="1"/>
        <v>0.6</v>
      </c>
    </row>
    <row r="161" spans="2:10">
      <c r="B161" s="1107">
        <f t="shared" si="2"/>
        <v>0.35</v>
      </c>
      <c r="C161" s="1107">
        <f t="shared" ref="C161:C179" si="3">C160+0.01</f>
        <v>7.0000000000000007E-2</v>
      </c>
      <c r="D161" s="1109">
        <f t="shared" si="0"/>
        <v>0.09</v>
      </c>
      <c r="E161" s="1107">
        <v>-0.55000000000000004</v>
      </c>
      <c r="F161" s="1106"/>
      <c r="G161" s="1106"/>
      <c r="H161" s="1106"/>
      <c r="I161" s="1106"/>
      <c r="J161" s="1112">
        <f>J160+0.1</f>
        <v>0.7</v>
      </c>
    </row>
    <row r="162" spans="2:10">
      <c r="B162" s="1107">
        <f t="shared" si="2"/>
        <v>0.39999999999999997</v>
      </c>
      <c r="C162" s="1107">
        <f t="shared" si="3"/>
        <v>0.08</v>
      </c>
      <c r="D162" s="1109">
        <f t="shared" si="0"/>
        <v>9.9999999999999992E-2</v>
      </c>
      <c r="E162" s="1107">
        <v>-0.5</v>
      </c>
      <c r="F162" s="1106"/>
      <c r="G162" s="1106"/>
      <c r="H162" s="1106"/>
      <c r="I162" s="1106"/>
      <c r="J162" s="1112">
        <f t="shared" si="1"/>
        <v>0.79999999999999993</v>
      </c>
    </row>
    <row r="163" spans="2:10">
      <c r="B163" s="1107">
        <f t="shared" si="2"/>
        <v>0.44999999999999996</v>
      </c>
      <c r="C163" s="1107">
        <f t="shared" si="3"/>
        <v>0.09</v>
      </c>
      <c r="D163" s="1109">
        <f t="shared" si="0"/>
        <v>0.10999999999999999</v>
      </c>
      <c r="E163" s="1107">
        <v>-0.45</v>
      </c>
      <c r="F163" s="1106"/>
      <c r="G163" s="1106"/>
      <c r="H163" s="1106"/>
      <c r="I163" s="1106"/>
      <c r="J163" s="1112">
        <f t="shared" si="1"/>
        <v>0.89999999999999991</v>
      </c>
    </row>
    <row r="164" spans="2:10">
      <c r="B164" s="1107">
        <f t="shared" si="2"/>
        <v>0.49999999999999994</v>
      </c>
      <c r="C164" s="1107">
        <f t="shared" si="3"/>
        <v>9.9999999999999992E-2</v>
      </c>
      <c r="D164" s="1109">
        <f t="shared" si="0"/>
        <v>0.11999999999999998</v>
      </c>
      <c r="E164" s="1107">
        <v>-0.4</v>
      </c>
      <c r="F164" s="1106"/>
      <c r="G164" s="1106"/>
      <c r="H164" s="1106"/>
      <c r="I164" s="1106"/>
      <c r="J164" s="1112">
        <f t="shared" si="1"/>
        <v>0.99999999999999989</v>
      </c>
    </row>
    <row r="165" spans="2:10">
      <c r="B165" s="1107">
        <f t="shared" si="2"/>
        <v>0.54999999999999993</v>
      </c>
      <c r="C165" s="1107">
        <f t="shared" si="3"/>
        <v>0.10999999999999999</v>
      </c>
      <c r="D165" s="1109">
        <f t="shared" si="0"/>
        <v>0.12999999999999998</v>
      </c>
      <c r="E165" s="1107">
        <v>-0.35</v>
      </c>
      <c r="F165" s="1106"/>
      <c r="G165" s="1106"/>
      <c r="H165" s="1106"/>
      <c r="I165" s="1106"/>
      <c r="J165" s="1106"/>
    </row>
    <row r="166" spans="2:10">
      <c r="B166" s="1107">
        <f t="shared" si="2"/>
        <v>0.6</v>
      </c>
      <c r="C166" s="1107">
        <f t="shared" si="3"/>
        <v>0.11999999999999998</v>
      </c>
      <c r="D166" s="1109">
        <f t="shared" si="0"/>
        <v>0.13999999999999999</v>
      </c>
      <c r="E166" s="1107">
        <v>-0.3</v>
      </c>
      <c r="F166" s="1106"/>
      <c r="G166" s="1106"/>
      <c r="H166" s="1106"/>
      <c r="I166" s="1106"/>
      <c r="J166" s="1106"/>
    </row>
    <row r="167" spans="2:10">
      <c r="B167" s="1107">
        <f t="shared" si="2"/>
        <v>0.65</v>
      </c>
      <c r="C167" s="1107">
        <f t="shared" si="3"/>
        <v>0.12999999999999998</v>
      </c>
      <c r="D167" s="1109">
        <f t="shared" si="0"/>
        <v>0.15</v>
      </c>
      <c r="E167" s="1107">
        <v>-0.25</v>
      </c>
      <c r="F167" s="1106"/>
      <c r="G167" s="1106"/>
      <c r="H167" s="1106"/>
      <c r="I167" s="1106"/>
      <c r="J167" s="1106"/>
    </row>
    <row r="168" spans="2:10">
      <c r="B168" s="1107">
        <f t="shared" si="2"/>
        <v>0.70000000000000007</v>
      </c>
      <c r="C168" s="1107">
        <f t="shared" si="3"/>
        <v>0.13999999999999999</v>
      </c>
      <c r="D168" s="1109">
        <f t="shared" si="0"/>
        <v>0.16</v>
      </c>
      <c r="E168" s="1107">
        <v>-0.2</v>
      </c>
      <c r="F168" s="1106"/>
      <c r="G168" s="1106"/>
      <c r="H168" s="1106"/>
      <c r="I168" s="1106"/>
      <c r="J168" s="1106"/>
    </row>
    <row r="169" spans="2:10">
      <c r="B169" s="1107">
        <f t="shared" si="2"/>
        <v>0.75000000000000011</v>
      </c>
      <c r="C169" s="1107">
        <f t="shared" si="3"/>
        <v>0.15</v>
      </c>
      <c r="D169" s="1109">
        <f t="shared" si="0"/>
        <v>0.17</v>
      </c>
      <c r="E169" s="1107">
        <v>-0.15</v>
      </c>
      <c r="F169" s="1106"/>
      <c r="G169" s="1106"/>
      <c r="H169" s="1106"/>
      <c r="I169" s="1106"/>
      <c r="J169" s="1106"/>
    </row>
    <row r="170" spans="2:10">
      <c r="B170" s="1107">
        <f>B169+0.05</f>
        <v>0.80000000000000016</v>
      </c>
      <c r="C170" s="1107">
        <f>C169+0.01</f>
        <v>0.16</v>
      </c>
      <c r="D170" s="1109">
        <f t="shared" si="0"/>
        <v>0.18000000000000002</v>
      </c>
      <c r="E170" s="1107">
        <v>-0.1</v>
      </c>
      <c r="F170" s="1106"/>
      <c r="G170" s="1106"/>
      <c r="H170" s="1106"/>
      <c r="I170" s="1106"/>
      <c r="J170" s="1106"/>
    </row>
    <row r="171" spans="2:10">
      <c r="B171" s="1107">
        <f t="shared" si="2"/>
        <v>0.8500000000000002</v>
      </c>
      <c r="C171" s="1107">
        <f t="shared" si="3"/>
        <v>0.17</v>
      </c>
      <c r="D171" s="1109">
        <f t="shared" si="0"/>
        <v>0.19000000000000003</v>
      </c>
      <c r="E171" s="1107">
        <v>-0.05</v>
      </c>
      <c r="F171" s="1106"/>
      <c r="G171" s="1106"/>
      <c r="H171" s="1106"/>
      <c r="I171" s="1106"/>
      <c r="J171" s="1106"/>
    </row>
    <row r="172" spans="2:10">
      <c r="B172" s="1107">
        <f t="shared" si="2"/>
        <v>0.90000000000000024</v>
      </c>
      <c r="C172" s="1107">
        <f t="shared" si="3"/>
        <v>0.18000000000000002</v>
      </c>
      <c r="D172" s="1109">
        <f t="shared" si="0"/>
        <v>0.20000000000000004</v>
      </c>
      <c r="E172" s="1107">
        <v>0</v>
      </c>
      <c r="F172" s="1106"/>
      <c r="G172" s="1106"/>
      <c r="H172" s="1106"/>
      <c r="I172" s="1106"/>
      <c r="J172" s="1106"/>
    </row>
    <row r="173" spans="2:10">
      <c r="B173" s="1107">
        <f t="shared" si="2"/>
        <v>0.95000000000000029</v>
      </c>
      <c r="C173" s="1107">
        <f t="shared" si="3"/>
        <v>0.19000000000000003</v>
      </c>
      <c r="D173" s="1109">
        <f t="shared" si="0"/>
        <v>0.21000000000000005</v>
      </c>
      <c r="E173" s="1107">
        <v>0.05</v>
      </c>
      <c r="F173" s="1106"/>
      <c r="G173" s="1106"/>
      <c r="H173" s="1106"/>
      <c r="I173" s="1106"/>
      <c r="J173" s="1106"/>
    </row>
    <row r="174" spans="2:10">
      <c r="B174" s="1107">
        <f t="shared" si="2"/>
        <v>1.0000000000000002</v>
      </c>
      <c r="C174" s="1107">
        <f t="shared" si="3"/>
        <v>0.20000000000000004</v>
      </c>
      <c r="D174" s="1109">
        <f t="shared" si="0"/>
        <v>0.22000000000000006</v>
      </c>
      <c r="E174" s="1107">
        <v>0.1</v>
      </c>
      <c r="F174" s="1106"/>
      <c r="G174" s="1106"/>
      <c r="H174" s="1106"/>
      <c r="I174" s="1106"/>
      <c r="J174" s="1106"/>
    </row>
    <row r="175" spans="2:10">
      <c r="B175" s="1110"/>
      <c r="C175" s="1107">
        <f t="shared" si="3"/>
        <v>0.21000000000000005</v>
      </c>
      <c r="D175" s="1109">
        <f t="shared" si="0"/>
        <v>0.23000000000000007</v>
      </c>
      <c r="E175" s="1107">
        <v>0.15</v>
      </c>
      <c r="F175" s="1106"/>
      <c r="G175" s="1106"/>
      <c r="H175" s="1106"/>
      <c r="I175" s="1106"/>
      <c r="J175" s="1106"/>
    </row>
    <row r="176" spans="2:10">
      <c r="B176" s="1110"/>
      <c r="C176" s="1107">
        <f t="shared" si="3"/>
        <v>0.22000000000000006</v>
      </c>
      <c r="D176" s="1109">
        <f t="shared" si="0"/>
        <v>0.24000000000000007</v>
      </c>
      <c r="E176" s="1107">
        <v>0.2</v>
      </c>
      <c r="F176" s="1106"/>
      <c r="G176" s="1106"/>
      <c r="H176" s="1106"/>
      <c r="I176" s="1106"/>
      <c r="J176" s="1106"/>
    </row>
    <row r="177" spans="2:10">
      <c r="B177" s="1106"/>
      <c r="C177" s="1107">
        <f t="shared" si="3"/>
        <v>0.23000000000000007</v>
      </c>
      <c r="D177" s="1109">
        <f t="shared" si="0"/>
        <v>0.25000000000000006</v>
      </c>
      <c r="E177" s="1107">
        <v>0.25</v>
      </c>
      <c r="F177" s="1106"/>
      <c r="G177" s="1106"/>
      <c r="H177" s="1106"/>
      <c r="I177" s="1106"/>
      <c r="J177" s="1106"/>
    </row>
    <row r="178" spans="2:10">
      <c r="B178" s="1106"/>
      <c r="C178" s="1107">
        <f t="shared" si="3"/>
        <v>0.24000000000000007</v>
      </c>
      <c r="D178" s="1113"/>
      <c r="E178" s="1107">
        <v>0.3</v>
      </c>
      <c r="F178" s="1106"/>
      <c r="G178" s="1106"/>
      <c r="H178" s="1106"/>
      <c r="I178" s="1106"/>
      <c r="J178" s="1106"/>
    </row>
    <row r="179" spans="2:10">
      <c r="B179" s="1106"/>
      <c r="C179" s="1107">
        <f t="shared" si="3"/>
        <v>0.25000000000000006</v>
      </c>
      <c r="D179" s="1113"/>
      <c r="E179" s="1107">
        <v>0.35</v>
      </c>
      <c r="F179" s="1106"/>
      <c r="G179" s="1106"/>
      <c r="H179" s="1106"/>
      <c r="I179" s="1106"/>
      <c r="J179" s="1106"/>
    </row>
    <row r="180" spans="2:10">
      <c r="B180" s="1106"/>
      <c r="C180" s="1107"/>
      <c r="D180" s="1113"/>
      <c r="E180" s="1107">
        <v>0.4</v>
      </c>
      <c r="F180" s="1106"/>
      <c r="G180" s="1106"/>
      <c r="H180" s="1106"/>
      <c r="I180" s="1106"/>
      <c r="J180" s="1106"/>
    </row>
    <row r="181" spans="2:10">
      <c r="B181" s="1106"/>
      <c r="C181" s="1107"/>
      <c r="D181" s="1106"/>
      <c r="E181" s="1107">
        <v>0.45</v>
      </c>
      <c r="F181" s="1106"/>
      <c r="G181" s="1106"/>
      <c r="H181" s="1106"/>
      <c r="I181" s="1106"/>
      <c r="J181" s="1106"/>
    </row>
    <row r="182" spans="2:10">
      <c r="B182" s="1106"/>
      <c r="C182" s="1107"/>
      <c r="D182" s="1106"/>
      <c r="E182" s="1107">
        <v>0.5</v>
      </c>
      <c r="F182" s="1106"/>
      <c r="G182" s="1106"/>
      <c r="H182" s="1106"/>
      <c r="I182" s="1106"/>
      <c r="J182" s="1106"/>
    </row>
    <row r="183" spans="2:10">
      <c r="B183" s="1106"/>
      <c r="C183" s="1106"/>
      <c r="D183" s="1106"/>
      <c r="E183" s="1107">
        <v>0.55000000000000004</v>
      </c>
      <c r="F183" s="1106"/>
      <c r="G183" s="1106"/>
      <c r="H183" s="1106"/>
      <c r="I183" s="1106"/>
      <c r="J183" s="1106"/>
    </row>
    <row r="184" spans="2:10">
      <c r="B184" s="1106"/>
      <c r="C184" s="1106"/>
      <c r="D184" s="1106"/>
      <c r="E184" s="1107">
        <v>0.6</v>
      </c>
      <c r="F184" s="1106"/>
      <c r="G184" s="1106"/>
      <c r="H184" s="1106"/>
      <c r="I184" s="1106"/>
      <c r="J184" s="1106"/>
    </row>
    <row r="185" spans="2:10">
      <c r="B185" s="1106"/>
      <c r="C185" s="1106"/>
      <c r="D185" s="1106"/>
      <c r="E185" s="1107">
        <v>0.65</v>
      </c>
      <c r="F185" s="1106"/>
      <c r="G185" s="1106"/>
      <c r="H185" s="1106"/>
      <c r="I185" s="1106"/>
      <c r="J185" s="1106"/>
    </row>
    <row r="186" spans="2:10">
      <c r="B186" s="1106"/>
      <c r="C186" s="1106"/>
      <c r="D186" s="1106"/>
      <c r="E186" s="1107">
        <v>0.7</v>
      </c>
      <c r="F186" s="1106"/>
      <c r="G186" s="1106"/>
      <c r="H186" s="1106"/>
      <c r="I186" s="1106"/>
      <c r="J186" s="1106"/>
    </row>
    <row r="187" spans="2:10">
      <c r="B187" s="1106"/>
      <c r="C187" s="1106"/>
      <c r="D187" s="1106"/>
      <c r="E187" s="1107">
        <v>0.75</v>
      </c>
      <c r="F187" s="1106"/>
      <c r="G187" s="1106"/>
      <c r="H187" s="1106"/>
      <c r="I187" s="1106"/>
      <c r="J187" s="1106"/>
    </row>
    <row r="188" spans="2:10">
      <c r="B188" s="1106"/>
      <c r="C188" s="1106"/>
      <c r="D188" s="1106"/>
      <c r="E188" s="1107">
        <v>0.8</v>
      </c>
      <c r="F188" s="1106"/>
      <c r="G188" s="1106"/>
      <c r="H188" s="1106"/>
      <c r="I188" s="1106"/>
      <c r="J188" s="1106"/>
    </row>
    <row r="189" spans="2:10">
      <c r="B189" s="1106"/>
      <c r="C189" s="1106"/>
      <c r="D189" s="1106"/>
      <c r="E189" s="1107">
        <v>0.85</v>
      </c>
      <c r="F189" s="1106"/>
      <c r="G189" s="1106"/>
      <c r="H189" s="1106"/>
      <c r="I189" s="1106"/>
      <c r="J189" s="1106"/>
    </row>
    <row r="190" spans="2:10">
      <c r="B190" s="1106"/>
      <c r="C190" s="1106"/>
      <c r="D190" s="1106"/>
      <c r="E190" s="1107">
        <v>0.9</v>
      </c>
      <c r="F190" s="1106"/>
      <c r="G190" s="1106"/>
      <c r="H190" s="1106"/>
      <c r="I190" s="1106"/>
      <c r="J190" s="1106"/>
    </row>
    <row r="191" spans="2:10">
      <c r="B191" s="1106"/>
      <c r="C191" s="1106"/>
      <c r="D191" s="1106"/>
      <c r="E191" s="1107">
        <v>0.95</v>
      </c>
      <c r="F191" s="1106"/>
      <c r="G191" s="1106"/>
      <c r="H191" s="1106"/>
      <c r="I191" s="1106"/>
      <c r="J191" s="1106"/>
    </row>
    <row r="192" spans="2:10">
      <c r="B192" s="1106"/>
      <c r="C192" s="1106"/>
      <c r="D192" s="1106"/>
      <c r="E192" s="1107">
        <v>1</v>
      </c>
      <c r="F192" s="1106"/>
      <c r="G192" s="1106"/>
      <c r="H192" s="1106"/>
      <c r="I192" s="1106"/>
      <c r="J192" s="1106"/>
    </row>
    <row r="193" spans="2:10">
      <c r="B193" s="1106"/>
      <c r="C193" s="1106"/>
      <c r="D193" s="1106"/>
      <c r="E193" s="1106"/>
      <c r="F193" s="1106"/>
      <c r="G193" s="1106"/>
      <c r="H193" s="1106"/>
      <c r="I193" s="1106"/>
      <c r="J193" s="1106"/>
    </row>
    <row r="194" spans="2:10">
      <c r="B194" s="1106"/>
      <c r="C194" s="1106"/>
      <c r="D194" s="1106"/>
      <c r="E194" s="1106"/>
      <c r="F194" s="1106"/>
      <c r="G194" s="1106"/>
      <c r="H194" s="1106"/>
      <c r="I194" s="1106"/>
      <c r="J194" s="1106"/>
    </row>
    <row r="195" spans="2:10">
      <c r="B195" s="1106"/>
      <c r="C195" s="1106"/>
      <c r="D195" s="1106"/>
      <c r="E195" s="1106"/>
      <c r="F195" s="1106"/>
      <c r="G195" s="1106"/>
      <c r="H195" s="1106"/>
      <c r="I195" s="1106"/>
      <c r="J195" s="1106"/>
    </row>
    <row r="196" spans="2:10">
      <c r="B196" s="1106"/>
      <c r="C196" s="1106"/>
      <c r="D196" s="1106"/>
      <c r="E196" s="1106"/>
      <c r="F196" s="1106"/>
      <c r="G196" s="1106"/>
      <c r="H196" s="1106"/>
      <c r="I196" s="1106"/>
      <c r="J196" s="1106"/>
    </row>
    <row r="197" spans="2:10">
      <c r="B197" s="1106"/>
      <c r="C197" s="1106"/>
      <c r="D197" s="1106"/>
      <c r="E197" s="1106"/>
      <c r="F197" s="1106"/>
      <c r="G197" s="1106"/>
      <c r="H197" s="1106"/>
      <c r="I197" s="1106"/>
      <c r="J197" s="1106"/>
    </row>
    <row r="198" spans="2:10">
      <c r="B198" s="1106"/>
      <c r="C198" s="1106"/>
      <c r="D198" s="1106"/>
      <c r="E198" s="1106"/>
      <c r="F198" s="1106"/>
      <c r="G198" s="1106"/>
      <c r="H198" s="1106"/>
      <c r="I198" s="1106"/>
      <c r="J198" s="1106"/>
    </row>
    <row r="199" spans="2:10">
      <c r="B199" s="1106"/>
      <c r="C199" s="1106"/>
      <c r="D199" s="1106"/>
      <c r="E199" s="1106"/>
      <c r="F199" s="1106"/>
      <c r="G199" s="1106"/>
      <c r="H199" s="1106"/>
      <c r="I199" s="1106"/>
      <c r="J199" s="1106"/>
    </row>
    <row r="200" spans="2:10">
      <c r="B200" s="1106"/>
      <c r="C200" s="1106"/>
      <c r="D200" s="1106"/>
      <c r="E200" s="1106"/>
      <c r="F200" s="1106"/>
      <c r="G200" s="1106"/>
      <c r="H200" s="1106"/>
      <c r="I200" s="1106"/>
      <c r="J200" s="1106"/>
    </row>
    <row r="201" spans="2:10">
      <c r="B201" s="1106"/>
      <c r="C201" s="1106"/>
      <c r="D201" s="1106"/>
      <c r="E201" s="1106"/>
      <c r="F201" s="1106"/>
      <c r="G201" s="1106"/>
      <c r="H201" s="1106"/>
      <c r="I201" s="1106"/>
      <c r="J201" s="1106"/>
    </row>
    <row r="202" spans="2:10">
      <c r="B202" s="1106"/>
      <c r="C202" s="1106"/>
      <c r="D202" s="1106"/>
      <c r="E202" s="1106"/>
      <c r="F202" s="1106"/>
      <c r="G202" s="1106"/>
      <c r="H202" s="1106"/>
      <c r="I202" s="1106"/>
      <c r="J202" s="1106"/>
    </row>
    <row r="203" spans="2:10">
      <c r="B203" s="1106"/>
      <c r="C203" s="1106"/>
      <c r="D203" s="1106"/>
      <c r="E203" s="1106"/>
      <c r="F203" s="1106"/>
      <c r="G203" s="1106"/>
      <c r="H203" s="1106"/>
      <c r="I203" s="1106"/>
      <c r="J203" s="1106"/>
    </row>
    <row r="204" spans="2:10">
      <c r="B204" s="1106"/>
      <c r="C204" s="1106"/>
      <c r="D204" s="1106"/>
      <c r="E204" s="1106"/>
      <c r="F204" s="1106"/>
      <c r="G204" s="1106"/>
      <c r="H204" s="1106"/>
      <c r="I204" s="1106"/>
      <c r="J204" s="1106"/>
    </row>
    <row r="205" spans="2:10">
      <c r="B205" s="1106"/>
      <c r="C205" s="1106"/>
      <c r="D205" s="1106"/>
      <c r="E205" s="1106"/>
      <c r="F205" s="1106"/>
      <c r="G205" s="1106"/>
      <c r="H205" s="1106"/>
      <c r="I205" s="1106"/>
      <c r="J205" s="1106"/>
    </row>
    <row r="206" spans="2:10">
      <c r="B206" s="1106"/>
      <c r="C206" s="1106"/>
      <c r="D206" s="1106"/>
      <c r="E206" s="1106"/>
      <c r="F206" s="1106"/>
      <c r="G206" s="1106"/>
      <c r="H206" s="1106"/>
      <c r="I206" s="1106"/>
      <c r="J206" s="1106"/>
    </row>
    <row r="207" spans="2:10">
      <c r="B207" s="1106"/>
      <c r="C207" s="1106"/>
      <c r="D207" s="1106"/>
      <c r="E207" s="1106"/>
      <c r="F207" s="1106"/>
      <c r="G207" s="1106"/>
      <c r="H207" s="1106"/>
      <c r="I207" s="1106"/>
      <c r="J207" s="1106"/>
    </row>
    <row r="208" spans="2:10">
      <c r="B208" s="1106"/>
      <c r="C208" s="1106"/>
      <c r="D208" s="1106"/>
      <c r="E208" s="1106"/>
      <c r="F208" s="1106"/>
      <c r="G208" s="1106"/>
      <c r="H208" s="1106"/>
      <c r="I208" s="1106"/>
      <c r="J208" s="1106"/>
    </row>
    <row r="209" spans="2:10">
      <c r="B209" s="1106"/>
      <c r="C209" s="1106"/>
      <c r="D209" s="1106"/>
      <c r="E209" s="1106"/>
      <c r="F209" s="1106"/>
      <c r="G209" s="1106"/>
      <c r="H209" s="1106"/>
      <c r="I209" s="1106"/>
      <c r="J209" s="1106"/>
    </row>
    <row r="210" spans="2:10">
      <c r="B210" s="1106"/>
      <c r="C210" s="1106"/>
      <c r="D210" s="1106"/>
      <c r="E210" s="1106"/>
      <c r="F210" s="1106"/>
      <c r="G210" s="1106"/>
      <c r="H210" s="1106"/>
      <c r="I210" s="1106"/>
      <c r="J210" s="1106"/>
    </row>
    <row r="211" spans="2:10">
      <c r="B211" s="1106"/>
      <c r="C211" s="1106"/>
      <c r="D211" s="1106"/>
      <c r="E211" s="1106"/>
      <c r="F211" s="1106"/>
      <c r="G211" s="1106"/>
      <c r="H211" s="1106"/>
      <c r="I211" s="1106"/>
      <c r="J211" s="1106"/>
    </row>
    <row r="212" spans="2:10">
      <c r="B212" s="1106"/>
      <c r="C212" s="1106"/>
      <c r="D212" s="1106"/>
      <c r="E212" s="1106"/>
      <c r="F212" s="1106"/>
      <c r="G212" s="1106"/>
      <c r="H212" s="1106"/>
      <c r="I212" s="1106"/>
      <c r="J212" s="1106"/>
    </row>
    <row r="213" spans="2:10">
      <c r="B213" s="1106"/>
      <c r="C213" s="1106"/>
      <c r="D213" s="1106"/>
      <c r="E213" s="1106"/>
      <c r="F213" s="1106"/>
      <c r="G213" s="1106"/>
      <c r="H213" s="1106"/>
      <c r="I213" s="1106"/>
      <c r="J213" s="1106"/>
    </row>
    <row r="214" spans="2:10">
      <c r="B214" s="1106"/>
      <c r="C214" s="1106"/>
      <c r="D214" s="1106"/>
      <c r="E214" s="1106"/>
      <c r="F214" s="1106"/>
      <c r="G214" s="1106"/>
      <c r="H214" s="1106"/>
      <c r="I214" s="1106"/>
      <c r="J214" s="1106"/>
    </row>
    <row r="215" spans="2:10">
      <c r="B215" s="1106"/>
      <c r="C215" s="1106"/>
      <c r="D215" s="1106"/>
      <c r="E215" s="1106"/>
      <c r="F215" s="1106"/>
      <c r="G215" s="1106"/>
      <c r="H215" s="1106"/>
      <c r="I215" s="1106"/>
      <c r="J215" s="1106"/>
    </row>
    <row r="216" spans="2:10">
      <c r="B216" s="1106"/>
      <c r="C216" s="1106"/>
      <c r="D216" s="1106"/>
      <c r="E216" s="1106"/>
      <c r="F216" s="1106"/>
      <c r="G216" s="1106"/>
      <c r="H216" s="1106"/>
      <c r="I216" s="1106"/>
      <c r="J216" s="1106"/>
    </row>
    <row r="217" spans="2:10">
      <c r="B217" s="1106"/>
      <c r="C217" s="1106"/>
      <c r="D217" s="1106"/>
      <c r="E217" s="1106"/>
      <c r="F217" s="1106"/>
      <c r="G217" s="1106"/>
      <c r="H217" s="1106"/>
      <c r="I217" s="1106"/>
      <c r="J217" s="1106"/>
    </row>
    <row r="218" spans="2:10">
      <c r="B218" s="1106"/>
      <c r="C218" s="1106"/>
    </row>
  </sheetData>
  <sheetProtection password="CC29" sheet="1" objects="1" scenarios="1"/>
  <mergeCells count="31">
    <mergeCell ref="B82:C82"/>
    <mergeCell ref="B71:C71"/>
    <mergeCell ref="B36:B37"/>
    <mergeCell ref="F28:G28"/>
    <mergeCell ref="J3:K3"/>
    <mergeCell ref="J5:K5"/>
    <mergeCell ref="B3:C3"/>
    <mergeCell ref="B30:C30"/>
    <mergeCell ref="B8:C8"/>
    <mergeCell ref="B20:C20"/>
    <mergeCell ref="F3:G3"/>
    <mergeCell ref="G5:G6"/>
    <mergeCell ref="G7:G9"/>
    <mergeCell ref="F5:F6"/>
    <mergeCell ref="F7:F9"/>
    <mergeCell ref="A107:L107"/>
    <mergeCell ref="F48:G48"/>
    <mergeCell ref="F54:G54"/>
    <mergeCell ref="J43:K43"/>
    <mergeCell ref="B88:C88"/>
    <mergeCell ref="B95:C95"/>
    <mergeCell ref="B85:C85"/>
    <mergeCell ref="B49:C49"/>
    <mergeCell ref="B53:C53"/>
    <mergeCell ref="B56:C56"/>
    <mergeCell ref="F46:G46"/>
    <mergeCell ref="B98:C98"/>
    <mergeCell ref="B59:C59"/>
    <mergeCell ref="B64:C64"/>
    <mergeCell ref="B75:C75"/>
    <mergeCell ref="B79:C79"/>
  </mergeCells>
  <conditionalFormatting sqref="A1:K1">
    <cfRule type="expression" dxfId="133" priority="193">
      <formula>$B$131=0</formula>
    </cfRule>
    <cfRule type="expression" dxfId="132" priority="194">
      <formula>IF($B$131=2,TRUE,FALSE)</formula>
    </cfRule>
    <cfRule type="expression" dxfId="131" priority="195">
      <formula>IF($B$131=1,TRUE,FALSE)</formula>
    </cfRule>
  </conditionalFormatting>
  <conditionalFormatting sqref="L1">
    <cfRule type="expression" dxfId="130" priority="196">
      <formula>IF($B$131=2,TRUE,FALSE)</formula>
    </cfRule>
    <cfRule type="expression" dxfId="129" priority="197">
      <formula>IF($B$131=1,TRUE,FALSE)</formula>
    </cfRule>
  </conditionalFormatting>
  <conditionalFormatting sqref="L1">
    <cfRule type="expression" dxfId="128" priority="198">
      <formula>$B$131=0</formula>
    </cfRule>
  </conditionalFormatting>
  <pageMargins left="0.7" right="0.7" top="0.75" bottom="0.75" header="0.3" footer="0.3"/>
  <pageSetup orientation="portrait" r:id="rId1"/>
  <cellWatches>
    <cellWatch r="G5"/>
    <cellWatch r="G7"/>
  </cellWatche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0</xdr:colOff>
                    <xdr:row>7</xdr:row>
                    <xdr:rowOff>219075</xdr:rowOff>
                  </from>
                  <to>
                    <xdr:col>2</xdr:col>
                    <xdr:colOff>361950</xdr:colOff>
                    <xdr:row>8</xdr:row>
                    <xdr:rowOff>190500</xdr:rowOff>
                  </to>
                </anchor>
              </controlPr>
            </control>
          </mc:Choice>
        </mc:AlternateContent>
        <mc:AlternateContent xmlns:mc="http://schemas.openxmlformats.org/markup-compatibility/2006">
          <mc:Choice Requires="x14">
            <control shapeId="1064" r:id="rId5" name="Check Box 40">
              <controlPr defaultSize="0" autoFill="0" autoLine="0" autoPict="0">
                <anchor moveWithCells="1">
                  <from>
                    <xdr:col>2</xdr:col>
                    <xdr:colOff>171450</xdr:colOff>
                    <xdr:row>17</xdr:row>
                    <xdr:rowOff>0</xdr:rowOff>
                  </from>
                  <to>
                    <xdr:col>2</xdr:col>
                    <xdr:colOff>1847850</xdr:colOff>
                    <xdr:row>17</xdr:row>
                    <xdr:rowOff>228600</xdr:rowOff>
                  </to>
                </anchor>
              </controlPr>
            </control>
          </mc:Choice>
        </mc:AlternateContent>
        <mc:AlternateContent xmlns:mc="http://schemas.openxmlformats.org/markup-compatibility/2006">
          <mc:Choice Requires="x14">
            <control shapeId="1065" r:id="rId6" name="Check Box 41">
              <controlPr defaultSize="0" autoFill="0" autoLine="0" autoPict="0">
                <anchor moveWithCells="1">
                  <from>
                    <xdr:col>2</xdr:col>
                    <xdr:colOff>0</xdr:colOff>
                    <xdr:row>20</xdr:row>
                    <xdr:rowOff>0</xdr:rowOff>
                  </from>
                  <to>
                    <xdr:col>2</xdr:col>
                    <xdr:colOff>1676400</xdr:colOff>
                    <xdr:row>20</xdr:row>
                    <xdr:rowOff>219075</xdr:rowOff>
                  </to>
                </anchor>
              </controlPr>
            </control>
          </mc:Choice>
        </mc:AlternateContent>
        <mc:AlternateContent xmlns:mc="http://schemas.openxmlformats.org/markup-compatibility/2006">
          <mc:Choice Requires="x14">
            <control shapeId="1068" r:id="rId7" name="Check Box 44">
              <controlPr defaultSize="0" autoFill="0" autoLine="0" autoPict="0" altText="Remove">
                <anchor moveWithCells="1">
                  <from>
                    <xdr:col>2</xdr:col>
                    <xdr:colOff>0</xdr:colOff>
                    <xdr:row>23</xdr:row>
                    <xdr:rowOff>0</xdr:rowOff>
                  </from>
                  <to>
                    <xdr:col>2</xdr:col>
                    <xdr:colOff>1371600</xdr:colOff>
                    <xdr:row>23</xdr:row>
                    <xdr:rowOff>228600</xdr:rowOff>
                  </to>
                </anchor>
              </controlPr>
            </control>
          </mc:Choice>
        </mc:AlternateContent>
        <mc:AlternateContent xmlns:mc="http://schemas.openxmlformats.org/markup-compatibility/2006">
          <mc:Choice Requires="x14">
            <control shapeId="1069" r:id="rId8" name="Check Box 45">
              <controlPr defaultSize="0" autoFill="0" autoLine="0" autoPict="0">
                <anchor moveWithCells="1">
                  <from>
                    <xdr:col>2</xdr:col>
                    <xdr:colOff>0</xdr:colOff>
                    <xdr:row>24</xdr:row>
                    <xdr:rowOff>0</xdr:rowOff>
                  </from>
                  <to>
                    <xdr:col>2</xdr:col>
                    <xdr:colOff>1095375</xdr:colOff>
                    <xdr:row>24</xdr:row>
                    <xdr:rowOff>228600</xdr:rowOff>
                  </to>
                </anchor>
              </controlPr>
            </control>
          </mc:Choice>
        </mc:AlternateContent>
        <mc:AlternateContent xmlns:mc="http://schemas.openxmlformats.org/markup-compatibility/2006">
          <mc:Choice Requires="x14">
            <control shapeId="1070" r:id="rId9" name="Check Box 46">
              <controlPr defaultSize="0" autoFill="0" autoLine="0" autoPict="0">
                <anchor moveWithCells="1">
                  <from>
                    <xdr:col>2</xdr:col>
                    <xdr:colOff>0</xdr:colOff>
                    <xdr:row>32</xdr:row>
                    <xdr:rowOff>9525</xdr:rowOff>
                  </from>
                  <to>
                    <xdr:col>2</xdr:col>
                    <xdr:colOff>1419225</xdr:colOff>
                    <xdr:row>32</xdr:row>
                    <xdr:rowOff>228600</xdr:rowOff>
                  </to>
                </anchor>
              </controlPr>
            </control>
          </mc:Choice>
        </mc:AlternateContent>
        <mc:AlternateContent xmlns:mc="http://schemas.openxmlformats.org/markup-compatibility/2006">
          <mc:Choice Requires="x14">
            <control shapeId="1071" r:id="rId10" name="Check Box 47">
              <controlPr defaultSize="0" autoFill="0" autoLine="0" autoPict="0">
                <anchor moveWithCells="1">
                  <from>
                    <xdr:col>1</xdr:col>
                    <xdr:colOff>3714750</xdr:colOff>
                    <xdr:row>35</xdr:row>
                    <xdr:rowOff>0</xdr:rowOff>
                  </from>
                  <to>
                    <xdr:col>2</xdr:col>
                    <xdr:colOff>1533525</xdr:colOff>
                    <xdr:row>35</xdr:row>
                    <xdr:rowOff>228600</xdr:rowOff>
                  </to>
                </anchor>
              </controlPr>
            </control>
          </mc:Choice>
        </mc:AlternateContent>
        <mc:AlternateContent xmlns:mc="http://schemas.openxmlformats.org/markup-compatibility/2006">
          <mc:Choice Requires="x14">
            <control shapeId="1072" r:id="rId11" name="Check Box 48">
              <controlPr defaultSize="0" autoFill="0" autoLine="0" autoPict="0">
                <anchor moveWithCells="1">
                  <from>
                    <xdr:col>2</xdr:col>
                    <xdr:colOff>0</xdr:colOff>
                    <xdr:row>38</xdr:row>
                    <xdr:rowOff>0</xdr:rowOff>
                  </from>
                  <to>
                    <xdr:col>2</xdr:col>
                    <xdr:colOff>1504950</xdr:colOff>
                    <xdr:row>38</xdr:row>
                    <xdr:rowOff>228600</xdr:rowOff>
                  </to>
                </anchor>
              </controlPr>
            </control>
          </mc:Choice>
        </mc:AlternateContent>
        <mc:AlternateContent xmlns:mc="http://schemas.openxmlformats.org/markup-compatibility/2006">
          <mc:Choice Requires="x14">
            <control shapeId="1073" r:id="rId12" name="Check Box 49">
              <controlPr defaultSize="0" autoFill="0" autoLine="0" autoPict="0">
                <anchor moveWithCells="1">
                  <from>
                    <xdr:col>2</xdr:col>
                    <xdr:colOff>0</xdr:colOff>
                    <xdr:row>39</xdr:row>
                    <xdr:rowOff>0</xdr:rowOff>
                  </from>
                  <to>
                    <xdr:col>2</xdr:col>
                    <xdr:colOff>1609725</xdr:colOff>
                    <xdr:row>39</xdr:row>
                    <xdr:rowOff>228600</xdr:rowOff>
                  </to>
                </anchor>
              </controlPr>
            </control>
          </mc:Choice>
        </mc:AlternateContent>
        <mc:AlternateContent xmlns:mc="http://schemas.openxmlformats.org/markup-compatibility/2006">
          <mc:Choice Requires="x14">
            <control shapeId="1074" r:id="rId13" name="Check Box 50">
              <controlPr defaultSize="0" autoFill="0" autoLine="0" autoPict="0">
                <anchor moveWithCells="1">
                  <from>
                    <xdr:col>2</xdr:col>
                    <xdr:colOff>0</xdr:colOff>
                    <xdr:row>42</xdr:row>
                    <xdr:rowOff>0</xdr:rowOff>
                  </from>
                  <to>
                    <xdr:col>2</xdr:col>
                    <xdr:colOff>1314450</xdr:colOff>
                    <xdr:row>42</xdr:row>
                    <xdr:rowOff>228600</xdr:rowOff>
                  </to>
                </anchor>
              </controlPr>
            </control>
          </mc:Choice>
        </mc:AlternateContent>
        <mc:AlternateContent xmlns:mc="http://schemas.openxmlformats.org/markup-compatibility/2006">
          <mc:Choice Requires="x14">
            <control shapeId="1075" r:id="rId14" name="Check Box 51">
              <controlPr defaultSize="0" autoFill="0" autoLine="0" autoPict="0">
                <anchor moveWithCells="1">
                  <from>
                    <xdr:col>2</xdr:col>
                    <xdr:colOff>0</xdr:colOff>
                    <xdr:row>43</xdr:row>
                    <xdr:rowOff>0</xdr:rowOff>
                  </from>
                  <to>
                    <xdr:col>2</xdr:col>
                    <xdr:colOff>1466850</xdr:colOff>
                    <xdr:row>43</xdr:row>
                    <xdr:rowOff>228600</xdr:rowOff>
                  </to>
                </anchor>
              </controlPr>
            </control>
          </mc:Choice>
        </mc:AlternateContent>
        <mc:AlternateContent xmlns:mc="http://schemas.openxmlformats.org/markup-compatibility/2006">
          <mc:Choice Requires="x14">
            <control shapeId="1076" r:id="rId15" name="Check Box 52">
              <controlPr defaultSize="0" autoFill="0" autoLine="0" autoPict="0">
                <anchor moveWithCells="1">
                  <from>
                    <xdr:col>1</xdr:col>
                    <xdr:colOff>3714750</xdr:colOff>
                    <xdr:row>45</xdr:row>
                    <xdr:rowOff>9525</xdr:rowOff>
                  </from>
                  <to>
                    <xdr:col>2</xdr:col>
                    <xdr:colOff>1847850</xdr:colOff>
                    <xdr:row>45</xdr:row>
                    <xdr:rowOff>257175</xdr:rowOff>
                  </to>
                </anchor>
              </controlPr>
            </control>
          </mc:Choice>
        </mc:AlternateContent>
        <mc:AlternateContent xmlns:mc="http://schemas.openxmlformats.org/markup-compatibility/2006">
          <mc:Choice Requires="x14">
            <control shapeId="1077" r:id="rId16" name="Check Box 53">
              <controlPr defaultSize="0" autoFill="0" autoLine="0" autoPict="0">
                <anchor moveWithCells="1">
                  <from>
                    <xdr:col>1</xdr:col>
                    <xdr:colOff>3714750</xdr:colOff>
                    <xdr:row>46</xdr:row>
                    <xdr:rowOff>9525</xdr:rowOff>
                  </from>
                  <to>
                    <xdr:col>2</xdr:col>
                    <xdr:colOff>1895475</xdr:colOff>
                    <xdr:row>46</xdr:row>
                    <xdr:rowOff>228600</xdr:rowOff>
                  </to>
                </anchor>
              </controlPr>
            </control>
          </mc:Choice>
        </mc:AlternateContent>
        <mc:AlternateContent xmlns:mc="http://schemas.openxmlformats.org/markup-compatibility/2006">
          <mc:Choice Requires="x14">
            <control shapeId="1078" r:id="rId17" name="Check Box 54">
              <controlPr defaultSize="0" autoFill="0" autoLine="0" autoPict="0" altText="Remove">
                <anchor moveWithCells="1">
                  <from>
                    <xdr:col>2</xdr:col>
                    <xdr:colOff>0</xdr:colOff>
                    <xdr:row>25</xdr:row>
                    <xdr:rowOff>0</xdr:rowOff>
                  </from>
                  <to>
                    <xdr:col>2</xdr:col>
                    <xdr:colOff>1343025</xdr:colOff>
                    <xdr:row>25</xdr:row>
                    <xdr:rowOff>228600</xdr:rowOff>
                  </to>
                </anchor>
              </controlPr>
            </control>
          </mc:Choice>
        </mc:AlternateContent>
        <mc:AlternateContent xmlns:mc="http://schemas.openxmlformats.org/markup-compatibility/2006">
          <mc:Choice Requires="x14">
            <control shapeId="1079" r:id="rId18" name="Check Box 55">
              <controlPr defaultSize="0" autoFill="0" autoLine="0" autoPict="0">
                <anchor moveWithCells="1">
                  <from>
                    <xdr:col>2</xdr:col>
                    <xdr:colOff>0</xdr:colOff>
                    <xdr:row>26</xdr:row>
                    <xdr:rowOff>0</xdr:rowOff>
                  </from>
                  <to>
                    <xdr:col>2</xdr:col>
                    <xdr:colOff>1390650</xdr:colOff>
                    <xdr:row>26</xdr:row>
                    <xdr:rowOff>219075</xdr:rowOff>
                  </to>
                </anchor>
              </controlPr>
            </control>
          </mc:Choice>
        </mc:AlternateContent>
        <mc:AlternateContent xmlns:mc="http://schemas.openxmlformats.org/markup-compatibility/2006">
          <mc:Choice Requires="x14">
            <control shapeId="1080" r:id="rId19" name="Check Box 56">
              <controlPr defaultSize="0" autoFill="0" autoLine="0" autoPict="0">
                <anchor moveWithCells="1">
                  <from>
                    <xdr:col>2</xdr:col>
                    <xdr:colOff>0</xdr:colOff>
                    <xdr:row>50</xdr:row>
                    <xdr:rowOff>0</xdr:rowOff>
                  </from>
                  <to>
                    <xdr:col>2</xdr:col>
                    <xdr:colOff>1352550</xdr:colOff>
                    <xdr:row>50</xdr:row>
                    <xdr:rowOff>228600</xdr:rowOff>
                  </to>
                </anchor>
              </controlPr>
            </control>
          </mc:Choice>
        </mc:AlternateContent>
        <mc:AlternateContent xmlns:mc="http://schemas.openxmlformats.org/markup-compatibility/2006">
          <mc:Choice Requires="x14">
            <control shapeId="1081" r:id="rId20" name="Check Box 57">
              <controlPr defaultSize="0" autoFill="0" autoLine="0" autoPict="0">
                <anchor moveWithCells="1">
                  <from>
                    <xdr:col>2</xdr:col>
                    <xdr:colOff>0</xdr:colOff>
                    <xdr:row>50</xdr:row>
                    <xdr:rowOff>0</xdr:rowOff>
                  </from>
                  <to>
                    <xdr:col>2</xdr:col>
                    <xdr:colOff>1295400</xdr:colOff>
                    <xdr:row>50</xdr:row>
                    <xdr:rowOff>228600</xdr:rowOff>
                  </to>
                </anchor>
              </controlPr>
            </control>
          </mc:Choice>
        </mc:AlternateContent>
        <mc:AlternateContent xmlns:mc="http://schemas.openxmlformats.org/markup-compatibility/2006">
          <mc:Choice Requires="x14">
            <control shapeId="1082" r:id="rId21" name="Check Box 58">
              <controlPr defaultSize="0" autoFill="0" autoLine="0" autoPict="0">
                <anchor moveWithCells="1">
                  <from>
                    <xdr:col>2</xdr:col>
                    <xdr:colOff>0</xdr:colOff>
                    <xdr:row>60</xdr:row>
                    <xdr:rowOff>0</xdr:rowOff>
                  </from>
                  <to>
                    <xdr:col>2</xdr:col>
                    <xdr:colOff>1314450</xdr:colOff>
                    <xdr:row>60</xdr:row>
                    <xdr:rowOff>228600</xdr:rowOff>
                  </to>
                </anchor>
              </controlPr>
            </control>
          </mc:Choice>
        </mc:AlternateContent>
        <mc:AlternateContent xmlns:mc="http://schemas.openxmlformats.org/markup-compatibility/2006">
          <mc:Choice Requires="x14">
            <control shapeId="1083" r:id="rId22" name="Check Box 59">
              <controlPr defaultSize="0" autoFill="0" autoLine="0" autoPict="0">
                <anchor moveWithCells="1">
                  <from>
                    <xdr:col>2</xdr:col>
                    <xdr:colOff>0</xdr:colOff>
                    <xdr:row>64</xdr:row>
                    <xdr:rowOff>0</xdr:rowOff>
                  </from>
                  <to>
                    <xdr:col>2</xdr:col>
                    <xdr:colOff>1447800</xdr:colOff>
                    <xdr:row>64</xdr:row>
                    <xdr:rowOff>228600</xdr:rowOff>
                  </to>
                </anchor>
              </controlPr>
            </control>
          </mc:Choice>
        </mc:AlternateContent>
        <mc:AlternateContent xmlns:mc="http://schemas.openxmlformats.org/markup-compatibility/2006">
          <mc:Choice Requires="x14">
            <control shapeId="1084" r:id="rId23" name="Check Box 60">
              <controlPr defaultSize="0" autoFill="0" autoLine="0" autoPict="0">
                <anchor moveWithCells="1">
                  <from>
                    <xdr:col>2</xdr:col>
                    <xdr:colOff>0</xdr:colOff>
                    <xdr:row>66</xdr:row>
                    <xdr:rowOff>0</xdr:rowOff>
                  </from>
                  <to>
                    <xdr:col>2</xdr:col>
                    <xdr:colOff>1800225</xdr:colOff>
                    <xdr:row>66</xdr:row>
                    <xdr:rowOff>228600</xdr:rowOff>
                  </to>
                </anchor>
              </controlPr>
            </control>
          </mc:Choice>
        </mc:AlternateContent>
        <mc:AlternateContent xmlns:mc="http://schemas.openxmlformats.org/markup-compatibility/2006">
          <mc:Choice Requires="x14">
            <control shapeId="1085" r:id="rId24" name="Check Box 61">
              <controlPr defaultSize="0" autoFill="0" autoLine="0" autoPict="0">
                <anchor moveWithCells="1">
                  <from>
                    <xdr:col>2</xdr:col>
                    <xdr:colOff>9525</xdr:colOff>
                    <xdr:row>67</xdr:row>
                    <xdr:rowOff>0</xdr:rowOff>
                  </from>
                  <to>
                    <xdr:col>2</xdr:col>
                    <xdr:colOff>1152525</xdr:colOff>
                    <xdr:row>67</xdr:row>
                    <xdr:rowOff>228600</xdr:rowOff>
                  </to>
                </anchor>
              </controlPr>
            </control>
          </mc:Choice>
        </mc:AlternateContent>
        <mc:AlternateContent xmlns:mc="http://schemas.openxmlformats.org/markup-compatibility/2006">
          <mc:Choice Requires="x14">
            <control shapeId="1086" r:id="rId25" name="Check Box 62">
              <controlPr defaultSize="0" autoFill="0" autoLine="0" autoPict="0">
                <anchor moveWithCells="1">
                  <from>
                    <xdr:col>2</xdr:col>
                    <xdr:colOff>0</xdr:colOff>
                    <xdr:row>68</xdr:row>
                    <xdr:rowOff>0</xdr:rowOff>
                  </from>
                  <to>
                    <xdr:col>2</xdr:col>
                    <xdr:colOff>1438275</xdr:colOff>
                    <xdr:row>68</xdr:row>
                    <xdr:rowOff>228600</xdr:rowOff>
                  </to>
                </anchor>
              </controlPr>
            </control>
          </mc:Choice>
        </mc:AlternateContent>
        <mc:AlternateContent xmlns:mc="http://schemas.openxmlformats.org/markup-compatibility/2006">
          <mc:Choice Requires="x14">
            <control shapeId="1087" r:id="rId26" name="Check Box 63">
              <controlPr defaultSize="0" autoFill="0" autoLine="0" autoPict="0">
                <anchor moveWithCells="1">
                  <from>
                    <xdr:col>2</xdr:col>
                    <xdr:colOff>0</xdr:colOff>
                    <xdr:row>75</xdr:row>
                    <xdr:rowOff>0</xdr:rowOff>
                  </from>
                  <to>
                    <xdr:col>2</xdr:col>
                    <xdr:colOff>1295400</xdr:colOff>
                    <xdr:row>75</xdr:row>
                    <xdr:rowOff>228600</xdr:rowOff>
                  </to>
                </anchor>
              </controlPr>
            </control>
          </mc:Choice>
        </mc:AlternateContent>
        <mc:AlternateContent xmlns:mc="http://schemas.openxmlformats.org/markup-compatibility/2006">
          <mc:Choice Requires="x14">
            <control shapeId="1088" r:id="rId27" name="Check Box 64">
              <controlPr defaultSize="0" autoFill="0" autoLine="0" autoPict="0">
                <anchor moveWithCells="1">
                  <from>
                    <xdr:col>2</xdr:col>
                    <xdr:colOff>0</xdr:colOff>
                    <xdr:row>79</xdr:row>
                    <xdr:rowOff>0</xdr:rowOff>
                  </from>
                  <to>
                    <xdr:col>2</xdr:col>
                    <xdr:colOff>1095375</xdr:colOff>
                    <xdr:row>79</xdr:row>
                    <xdr:rowOff>228600</xdr:rowOff>
                  </to>
                </anchor>
              </controlPr>
            </control>
          </mc:Choice>
        </mc:AlternateContent>
        <mc:AlternateContent xmlns:mc="http://schemas.openxmlformats.org/markup-compatibility/2006">
          <mc:Choice Requires="x14">
            <control shapeId="1089" r:id="rId28" name="Check Box 65">
              <controlPr defaultSize="0" autoFill="0" autoLine="0" autoPict="0">
                <anchor moveWithCells="1">
                  <from>
                    <xdr:col>2</xdr:col>
                    <xdr:colOff>0</xdr:colOff>
                    <xdr:row>82</xdr:row>
                    <xdr:rowOff>0</xdr:rowOff>
                  </from>
                  <to>
                    <xdr:col>2</xdr:col>
                    <xdr:colOff>1514475</xdr:colOff>
                    <xdr:row>82</xdr:row>
                    <xdr:rowOff>228600</xdr:rowOff>
                  </to>
                </anchor>
              </controlPr>
            </control>
          </mc:Choice>
        </mc:AlternateContent>
        <mc:AlternateContent xmlns:mc="http://schemas.openxmlformats.org/markup-compatibility/2006">
          <mc:Choice Requires="x14">
            <control shapeId="1090" r:id="rId29" name="Check Box 66">
              <controlPr defaultSize="0" autoFill="0" autoLine="0" autoPict="0">
                <anchor moveWithCells="1">
                  <from>
                    <xdr:col>2</xdr:col>
                    <xdr:colOff>0</xdr:colOff>
                    <xdr:row>85</xdr:row>
                    <xdr:rowOff>0</xdr:rowOff>
                  </from>
                  <to>
                    <xdr:col>2</xdr:col>
                    <xdr:colOff>1581150</xdr:colOff>
                    <xdr:row>85</xdr:row>
                    <xdr:rowOff>228600</xdr:rowOff>
                  </to>
                </anchor>
              </controlPr>
            </control>
          </mc:Choice>
        </mc:AlternateContent>
        <mc:AlternateContent xmlns:mc="http://schemas.openxmlformats.org/markup-compatibility/2006">
          <mc:Choice Requires="x14">
            <control shapeId="1092" r:id="rId30" name="Check Box 68">
              <controlPr defaultSize="0" autoFill="0" autoLine="0" autoPict="0">
                <anchor moveWithCells="1">
                  <from>
                    <xdr:col>2</xdr:col>
                    <xdr:colOff>238125</xdr:colOff>
                    <xdr:row>98</xdr:row>
                    <xdr:rowOff>28575</xdr:rowOff>
                  </from>
                  <to>
                    <xdr:col>2</xdr:col>
                    <xdr:colOff>1457325</xdr:colOff>
                    <xdr:row>99</xdr:row>
                    <xdr:rowOff>9525</xdr:rowOff>
                  </to>
                </anchor>
              </controlPr>
            </control>
          </mc:Choice>
        </mc:AlternateContent>
        <mc:AlternateContent xmlns:mc="http://schemas.openxmlformats.org/markup-compatibility/2006">
          <mc:Choice Requires="x14">
            <control shapeId="1094" r:id="rId31" name="Check Box 70">
              <controlPr defaultSize="0" autoFill="0" autoLine="0" autoPict="0">
                <anchor moveWithCells="1">
                  <from>
                    <xdr:col>2</xdr:col>
                    <xdr:colOff>0</xdr:colOff>
                    <xdr:row>99</xdr:row>
                    <xdr:rowOff>0</xdr:rowOff>
                  </from>
                  <to>
                    <xdr:col>2</xdr:col>
                    <xdr:colOff>1076325</xdr:colOff>
                    <xdr:row>99</xdr:row>
                    <xdr:rowOff>228600</xdr:rowOff>
                  </to>
                </anchor>
              </controlPr>
            </control>
          </mc:Choice>
        </mc:AlternateContent>
        <mc:AlternateContent xmlns:mc="http://schemas.openxmlformats.org/markup-compatibility/2006">
          <mc:Choice Requires="x14">
            <control shapeId="1095" r:id="rId32" name="Check Box 71">
              <controlPr defaultSize="0" autoFill="0" autoLine="0" autoPict="0">
                <anchor moveWithCells="1">
                  <from>
                    <xdr:col>2</xdr:col>
                    <xdr:colOff>0</xdr:colOff>
                    <xdr:row>101</xdr:row>
                    <xdr:rowOff>0</xdr:rowOff>
                  </from>
                  <to>
                    <xdr:col>2</xdr:col>
                    <xdr:colOff>1390650</xdr:colOff>
                    <xdr:row>101</xdr:row>
                    <xdr:rowOff>228600</xdr:rowOff>
                  </to>
                </anchor>
              </controlPr>
            </control>
          </mc:Choice>
        </mc:AlternateContent>
        <mc:AlternateContent xmlns:mc="http://schemas.openxmlformats.org/markup-compatibility/2006">
          <mc:Choice Requires="x14">
            <control shapeId="1096" r:id="rId33" name="Option Button 72">
              <controlPr defaultSize="0" autoFill="0" autoLine="0" autoPict="0">
                <anchor moveWithCells="1">
                  <from>
                    <xdr:col>2</xdr:col>
                    <xdr:colOff>0</xdr:colOff>
                    <xdr:row>9</xdr:row>
                    <xdr:rowOff>0</xdr:rowOff>
                  </from>
                  <to>
                    <xdr:col>2</xdr:col>
                    <xdr:colOff>1857375</xdr:colOff>
                    <xdr:row>9</xdr:row>
                    <xdr:rowOff>171450</xdr:rowOff>
                  </to>
                </anchor>
              </controlPr>
            </control>
          </mc:Choice>
        </mc:AlternateContent>
        <mc:AlternateContent xmlns:mc="http://schemas.openxmlformats.org/markup-compatibility/2006">
          <mc:Choice Requires="x14">
            <control shapeId="1097" r:id="rId34" name="Option Button 73">
              <controlPr defaultSize="0" autoFill="0" autoLine="0" autoPict="0">
                <anchor moveWithCells="1">
                  <from>
                    <xdr:col>2</xdr:col>
                    <xdr:colOff>0</xdr:colOff>
                    <xdr:row>10</xdr:row>
                    <xdr:rowOff>9525</xdr:rowOff>
                  </from>
                  <to>
                    <xdr:col>3</xdr:col>
                    <xdr:colOff>19050</xdr:colOff>
                    <xdr:row>10</xdr:row>
                    <xdr:rowOff>180975</xdr:rowOff>
                  </to>
                </anchor>
              </controlPr>
            </control>
          </mc:Choice>
        </mc:AlternateContent>
        <mc:AlternateContent xmlns:mc="http://schemas.openxmlformats.org/markup-compatibility/2006">
          <mc:Choice Requires="x14">
            <control shapeId="1099" r:id="rId35" name="Check Box 75">
              <controlPr defaultSize="0" autoFill="0" autoLine="0" autoPict="0">
                <anchor moveWithCells="1">
                  <from>
                    <xdr:col>1</xdr:col>
                    <xdr:colOff>3714750</xdr:colOff>
                    <xdr:row>33</xdr:row>
                    <xdr:rowOff>0</xdr:rowOff>
                  </from>
                  <to>
                    <xdr:col>2</xdr:col>
                    <xdr:colOff>1381125</xdr:colOff>
                    <xdr:row>33</xdr:row>
                    <xdr:rowOff>219075</xdr:rowOff>
                  </to>
                </anchor>
              </controlPr>
            </control>
          </mc:Choice>
        </mc:AlternateContent>
        <mc:AlternateContent xmlns:mc="http://schemas.openxmlformats.org/markup-compatibility/2006">
          <mc:Choice Requires="x14">
            <control shapeId="1100" r:id="rId36" name="Drop Down 76">
              <controlPr defaultSize="0" autoLine="0" autoPict="0">
                <anchor moveWithCells="1">
                  <from>
                    <xdr:col>2</xdr:col>
                    <xdr:colOff>676275</xdr:colOff>
                    <xdr:row>60</xdr:row>
                    <xdr:rowOff>0</xdr:rowOff>
                  </from>
                  <to>
                    <xdr:col>2</xdr:col>
                    <xdr:colOff>2000250</xdr:colOff>
                    <xdr:row>60</xdr:row>
                    <xdr:rowOff>209550</xdr:rowOff>
                  </to>
                </anchor>
              </controlPr>
            </control>
          </mc:Choice>
        </mc:AlternateContent>
        <mc:AlternateContent xmlns:mc="http://schemas.openxmlformats.org/markup-compatibility/2006">
          <mc:Choice Requires="x14">
            <control shapeId="1101" r:id="rId37" name="Drop Down 77">
              <controlPr defaultSize="0" autoLine="0" autoPict="0">
                <anchor moveWithCells="1">
                  <from>
                    <xdr:col>2</xdr:col>
                    <xdr:colOff>676275</xdr:colOff>
                    <xdr:row>50</xdr:row>
                    <xdr:rowOff>0</xdr:rowOff>
                  </from>
                  <to>
                    <xdr:col>2</xdr:col>
                    <xdr:colOff>2009775</xdr:colOff>
                    <xdr:row>50</xdr:row>
                    <xdr:rowOff>200025</xdr:rowOff>
                  </to>
                </anchor>
              </controlPr>
            </control>
          </mc:Choice>
        </mc:AlternateContent>
        <mc:AlternateContent xmlns:mc="http://schemas.openxmlformats.org/markup-compatibility/2006">
          <mc:Choice Requires="x14">
            <control shapeId="1102" r:id="rId38" name="Drop Down 78">
              <controlPr defaultSize="0" autoLine="0" autoPict="0">
                <anchor moveWithCells="1">
                  <from>
                    <xdr:col>2</xdr:col>
                    <xdr:colOff>676275</xdr:colOff>
                    <xdr:row>50</xdr:row>
                    <xdr:rowOff>9525</xdr:rowOff>
                  </from>
                  <to>
                    <xdr:col>3</xdr:col>
                    <xdr:colOff>0</xdr:colOff>
                    <xdr:row>50</xdr:row>
                    <xdr:rowOff>209550</xdr:rowOff>
                  </to>
                </anchor>
              </controlPr>
            </control>
          </mc:Choice>
        </mc:AlternateContent>
        <mc:AlternateContent xmlns:mc="http://schemas.openxmlformats.org/markup-compatibility/2006">
          <mc:Choice Requires="x14">
            <control shapeId="1103" r:id="rId39" name="Drop Down 79">
              <controlPr defaultSize="0" autoLine="0" autoPict="0">
                <anchor moveWithCells="1">
                  <from>
                    <xdr:col>2</xdr:col>
                    <xdr:colOff>723900</xdr:colOff>
                    <xdr:row>79</xdr:row>
                    <xdr:rowOff>0</xdr:rowOff>
                  </from>
                  <to>
                    <xdr:col>3</xdr:col>
                    <xdr:colOff>0</xdr:colOff>
                    <xdr:row>79</xdr:row>
                    <xdr:rowOff>200025</xdr:rowOff>
                  </to>
                </anchor>
              </controlPr>
            </control>
          </mc:Choice>
        </mc:AlternateContent>
        <mc:AlternateContent xmlns:mc="http://schemas.openxmlformats.org/markup-compatibility/2006">
          <mc:Choice Requires="x14">
            <control shapeId="1104" r:id="rId40" name="Drop Down 80">
              <controlPr defaultSize="0" autoLine="0" autoPict="0">
                <anchor moveWithCells="1">
                  <from>
                    <xdr:col>2</xdr:col>
                    <xdr:colOff>695325</xdr:colOff>
                    <xdr:row>66</xdr:row>
                    <xdr:rowOff>0</xdr:rowOff>
                  </from>
                  <to>
                    <xdr:col>3</xdr:col>
                    <xdr:colOff>0</xdr:colOff>
                    <xdr:row>66</xdr:row>
                    <xdr:rowOff>200025</xdr:rowOff>
                  </to>
                </anchor>
              </controlPr>
            </control>
          </mc:Choice>
        </mc:AlternateContent>
        <mc:AlternateContent xmlns:mc="http://schemas.openxmlformats.org/markup-compatibility/2006">
          <mc:Choice Requires="x14">
            <control shapeId="1105" r:id="rId41" name="Drop Down 81">
              <controlPr defaultSize="0" autoLine="0" autoPict="0">
                <anchor moveWithCells="1">
                  <from>
                    <xdr:col>2</xdr:col>
                    <xdr:colOff>714375</xdr:colOff>
                    <xdr:row>75</xdr:row>
                    <xdr:rowOff>9525</xdr:rowOff>
                  </from>
                  <to>
                    <xdr:col>2</xdr:col>
                    <xdr:colOff>2009775</xdr:colOff>
                    <xdr:row>75</xdr:row>
                    <xdr:rowOff>209550</xdr:rowOff>
                  </to>
                </anchor>
              </controlPr>
            </control>
          </mc:Choice>
        </mc:AlternateContent>
        <mc:AlternateContent xmlns:mc="http://schemas.openxmlformats.org/markup-compatibility/2006">
          <mc:Choice Requires="x14">
            <control shapeId="1121" r:id="rId42" name="Check Box 97">
              <controlPr defaultSize="0" autoFill="0" autoLine="0" autoPict="0" altText="Remove">
                <anchor moveWithCells="1">
                  <from>
                    <xdr:col>2</xdr:col>
                    <xdr:colOff>0</xdr:colOff>
                    <xdr:row>22</xdr:row>
                    <xdr:rowOff>0</xdr:rowOff>
                  </from>
                  <to>
                    <xdr:col>2</xdr:col>
                    <xdr:colOff>1371600</xdr:colOff>
                    <xdr:row>22</xdr:row>
                    <xdr:rowOff>228600</xdr:rowOff>
                  </to>
                </anchor>
              </controlPr>
            </control>
          </mc:Choice>
        </mc:AlternateContent>
        <mc:AlternateContent xmlns:mc="http://schemas.openxmlformats.org/markup-compatibility/2006">
          <mc:Choice Requires="x14">
            <control shapeId="1123" r:id="rId43" name="Drop Down 99">
              <controlPr defaultSize="0" autoLine="0" autoPict="0">
                <anchor moveWithCells="1">
                  <from>
                    <xdr:col>2</xdr:col>
                    <xdr:colOff>676275</xdr:colOff>
                    <xdr:row>22</xdr:row>
                    <xdr:rowOff>0</xdr:rowOff>
                  </from>
                  <to>
                    <xdr:col>2</xdr:col>
                    <xdr:colOff>2000250</xdr:colOff>
                    <xdr:row>22</xdr:row>
                    <xdr:rowOff>209550</xdr:rowOff>
                  </to>
                </anchor>
              </controlPr>
            </control>
          </mc:Choice>
        </mc:AlternateContent>
        <mc:AlternateContent xmlns:mc="http://schemas.openxmlformats.org/markup-compatibility/2006">
          <mc:Choice Requires="x14">
            <control shapeId="1124" r:id="rId44" name="Drop Down 100">
              <controlPr defaultSize="0" autoLine="0" autoPict="0">
                <anchor moveWithCells="1">
                  <from>
                    <xdr:col>2</xdr:col>
                    <xdr:colOff>676275</xdr:colOff>
                    <xdr:row>24</xdr:row>
                    <xdr:rowOff>0</xdr:rowOff>
                  </from>
                  <to>
                    <xdr:col>2</xdr:col>
                    <xdr:colOff>2000250</xdr:colOff>
                    <xdr:row>24</xdr:row>
                    <xdr:rowOff>209550</xdr:rowOff>
                  </to>
                </anchor>
              </controlPr>
            </control>
          </mc:Choice>
        </mc:AlternateContent>
        <mc:AlternateContent xmlns:mc="http://schemas.openxmlformats.org/markup-compatibility/2006">
          <mc:Choice Requires="x14">
            <control shapeId="1128" r:id="rId45" name="Check Box 104">
              <controlPr defaultSize="0" autoFill="0" autoLine="0" autoPict="0">
                <anchor moveWithCells="1">
                  <from>
                    <xdr:col>2</xdr:col>
                    <xdr:colOff>0</xdr:colOff>
                    <xdr:row>27</xdr:row>
                    <xdr:rowOff>0</xdr:rowOff>
                  </from>
                  <to>
                    <xdr:col>2</xdr:col>
                    <xdr:colOff>1390650</xdr:colOff>
                    <xdr:row>27</xdr:row>
                    <xdr:rowOff>219075</xdr:rowOff>
                  </to>
                </anchor>
              </controlPr>
            </control>
          </mc:Choice>
        </mc:AlternateContent>
        <mc:AlternateContent xmlns:mc="http://schemas.openxmlformats.org/markup-compatibility/2006">
          <mc:Choice Requires="x14">
            <control shapeId="1133" r:id="rId46" name="Check Box 109">
              <controlPr defaultSize="0" autoFill="0" autoLine="0" autoPict="0">
                <anchor moveWithCells="1">
                  <from>
                    <xdr:col>2</xdr:col>
                    <xdr:colOff>0</xdr:colOff>
                    <xdr:row>53</xdr:row>
                    <xdr:rowOff>0</xdr:rowOff>
                  </from>
                  <to>
                    <xdr:col>2</xdr:col>
                    <xdr:colOff>1314450</xdr:colOff>
                    <xdr:row>53</xdr:row>
                    <xdr:rowOff>228600</xdr:rowOff>
                  </to>
                </anchor>
              </controlPr>
            </control>
          </mc:Choice>
        </mc:AlternateContent>
        <mc:AlternateContent xmlns:mc="http://schemas.openxmlformats.org/markup-compatibility/2006">
          <mc:Choice Requires="x14">
            <control shapeId="1134" r:id="rId47" name="Drop Down 110">
              <controlPr defaultSize="0" autoLine="0" autoPict="0">
                <anchor moveWithCells="1">
                  <from>
                    <xdr:col>2</xdr:col>
                    <xdr:colOff>676275</xdr:colOff>
                    <xdr:row>53</xdr:row>
                    <xdr:rowOff>0</xdr:rowOff>
                  </from>
                  <to>
                    <xdr:col>2</xdr:col>
                    <xdr:colOff>2000250</xdr:colOff>
                    <xdr:row>53</xdr:row>
                    <xdr:rowOff>209550</xdr:rowOff>
                  </to>
                </anchor>
              </controlPr>
            </control>
          </mc:Choice>
        </mc:AlternateContent>
        <mc:AlternateContent xmlns:mc="http://schemas.openxmlformats.org/markup-compatibility/2006">
          <mc:Choice Requires="x14">
            <control shapeId="1135" r:id="rId48" name="Check Box 111">
              <controlPr defaultSize="0" autoFill="0" autoLine="0" autoPict="0">
                <anchor moveWithCells="1">
                  <from>
                    <xdr:col>2</xdr:col>
                    <xdr:colOff>0</xdr:colOff>
                    <xdr:row>56</xdr:row>
                    <xdr:rowOff>0</xdr:rowOff>
                  </from>
                  <to>
                    <xdr:col>2</xdr:col>
                    <xdr:colOff>1314450</xdr:colOff>
                    <xdr:row>56</xdr:row>
                    <xdr:rowOff>228600</xdr:rowOff>
                  </to>
                </anchor>
              </controlPr>
            </control>
          </mc:Choice>
        </mc:AlternateContent>
        <mc:AlternateContent xmlns:mc="http://schemas.openxmlformats.org/markup-compatibility/2006">
          <mc:Choice Requires="x14">
            <control shapeId="1136" r:id="rId49" name="Drop Down 112">
              <controlPr defaultSize="0" autoLine="0" autoPict="0">
                <anchor moveWithCells="1">
                  <from>
                    <xdr:col>2</xdr:col>
                    <xdr:colOff>676275</xdr:colOff>
                    <xdr:row>56</xdr:row>
                    <xdr:rowOff>0</xdr:rowOff>
                  </from>
                  <to>
                    <xdr:col>2</xdr:col>
                    <xdr:colOff>2000250</xdr:colOff>
                    <xdr:row>56</xdr:row>
                    <xdr:rowOff>209550</xdr:rowOff>
                  </to>
                </anchor>
              </controlPr>
            </control>
          </mc:Choice>
        </mc:AlternateContent>
        <mc:AlternateContent xmlns:mc="http://schemas.openxmlformats.org/markup-compatibility/2006">
          <mc:Choice Requires="x14">
            <control shapeId="1137" r:id="rId50" name="Check Box 113">
              <controlPr defaultSize="0" autoFill="0" autoLine="0" autoPict="0">
                <anchor moveWithCells="1">
                  <from>
                    <xdr:col>2</xdr:col>
                    <xdr:colOff>0</xdr:colOff>
                    <xdr:row>71</xdr:row>
                    <xdr:rowOff>0</xdr:rowOff>
                  </from>
                  <to>
                    <xdr:col>2</xdr:col>
                    <xdr:colOff>1314450</xdr:colOff>
                    <xdr:row>71</xdr:row>
                    <xdr:rowOff>228600</xdr:rowOff>
                  </to>
                </anchor>
              </controlPr>
            </control>
          </mc:Choice>
        </mc:AlternateContent>
        <mc:AlternateContent xmlns:mc="http://schemas.openxmlformats.org/markup-compatibility/2006">
          <mc:Choice Requires="x14">
            <control shapeId="1138" r:id="rId51" name="Drop Down 114">
              <controlPr defaultSize="0" autoLine="0" autoPict="0">
                <anchor moveWithCells="1">
                  <from>
                    <xdr:col>2</xdr:col>
                    <xdr:colOff>676275</xdr:colOff>
                    <xdr:row>71</xdr:row>
                    <xdr:rowOff>0</xdr:rowOff>
                  </from>
                  <to>
                    <xdr:col>2</xdr:col>
                    <xdr:colOff>2000250</xdr:colOff>
                    <xdr:row>71</xdr:row>
                    <xdr:rowOff>209550</xdr:rowOff>
                  </to>
                </anchor>
              </controlPr>
            </control>
          </mc:Choice>
        </mc:AlternateContent>
        <mc:AlternateContent xmlns:mc="http://schemas.openxmlformats.org/markup-compatibility/2006">
          <mc:Choice Requires="x14">
            <control shapeId="1140" r:id="rId52" name="Check Box 116">
              <controlPr defaultSize="0" autoFill="0" autoLine="0" autoPict="0">
                <anchor moveWithCells="1">
                  <from>
                    <xdr:col>2</xdr:col>
                    <xdr:colOff>9525</xdr:colOff>
                    <xdr:row>71</xdr:row>
                    <xdr:rowOff>219075</xdr:rowOff>
                  </from>
                  <to>
                    <xdr:col>2</xdr:col>
                    <xdr:colOff>1847850</xdr:colOff>
                    <xdr:row>72</xdr:row>
                    <xdr:rowOff>219075</xdr:rowOff>
                  </to>
                </anchor>
              </controlPr>
            </control>
          </mc:Choice>
        </mc:AlternateContent>
        <mc:AlternateContent xmlns:mc="http://schemas.openxmlformats.org/markup-compatibility/2006">
          <mc:Choice Requires="x14">
            <control shapeId="1142" r:id="rId53" name="Drop Down 118">
              <controlPr defaultSize="0" autoLine="0" autoPict="0">
                <anchor moveWithCells="1">
                  <from>
                    <xdr:col>2</xdr:col>
                    <xdr:colOff>676275</xdr:colOff>
                    <xdr:row>12</xdr:row>
                    <xdr:rowOff>0</xdr:rowOff>
                  </from>
                  <to>
                    <xdr:col>2</xdr:col>
                    <xdr:colOff>2000250</xdr:colOff>
                    <xdr:row>12</xdr:row>
                    <xdr:rowOff>209550</xdr:rowOff>
                  </to>
                </anchor>
              </controlPr>
            </control>
          </mc:Choice>
        </mc:AlternateContent>
        <mc:AlternateContent xmlns:mc="http://schemas.openxmlformats.org/markup-compatibility/2006">
          <mc:Choice Requires="x14">
            <control shapeId="1143" r:id="rId54" name="Drop Down 119">
              <controlPr defaultSize="0" autoLine="0" autoPict="0">
                <anchor moveWithCells="1">
                  <from>
                    <xdr:col>2</xdr:col>
                    <xdr:colOff>676275</xdr:colOff>
                    <xdr:row>26</xdr:row>
                    <xdr:rowOff>0</xdr:rowOff>
                  </from>
                  <to>
                    <xdr:col>2</xdr:col>
                    <xdr:colOff>2000250</xdr:colOff>
                    <xdr:row>26</xdr:row>
                    <xdr:rowOff>209550</xdr:rowOff>
                  </to>
                </anchor>
              </controlPr>
            </control>
          </mc:Choice>
        </mc:AlternateContent>
        <mc:AlternateContent xmlns:mc="http://schemas.openxmlformats.org/markup-compatibility/2006">
          <mc:Choice Requires="x14">
            <control shapeId="1144" r:id="rId55" name="Drop Down 120">
              <controlPr defaultSize="0" autoLine="0" autoPict="0">
                <anchor moveWithCells="1">
                  <from>
                    <xdr:col>2</xdr:col>
                    <xdr:colOff>781050</xdr:colOff>
                    <xdr:row>100</xdr:row>
                    <xdr:rowOff>9525</xdr:rowOff>
                  </from>
                  <to>
                    <xdr:col>2</xdr:col>
                    <xdr:colOff>1981200</xdr:colOff>
                    <xdr:row>100</xdr:row>
                    <xdr:rowOff>219075</xdr:rowOff>
                  </to>
                </anchor>
              </controlPr>
            </control>
          </mc:Choice>
        </mc:AlternateContent>
        <mc:AlternateContent xmlns:mc="http://schemas.openxmlformats.org/markup-compatibility/2006">
          <mc:Choice Requires="x14">
            <control shapeId="1145" r:id="rId56" name="Drop Down 121">
              <controlPr defaultSize="0" autoLine="0" autoPict="0">
                <anchor moveWithCells="1">
                  <from>
                    <xdr:col>2</xdr:col>
                    <xdr:colOff>676275</xdr:colOff>
                    <xdr:row>16</xdr:row>
                    <xdr:rowOff>0</xdr:rowOff>
                  </from>
                  <to>
                    <xdr:col>2</xdr:col>
                    <xdr:colOff>2000250</xdr:colOff>
                    <xdr:row>16</xdr:row>
                    <xdr:rowOff>209550</xdr:rowOff>
                  </to>
                </anchor>
              </controlPr>
            </control>
          </mc:Choice>
        </mc:AlternateContent>
        <mc:AlternateContent xmlns:mc="http://schemas.openxmlformats.org/markup-compatibility/2006">
          <mc:Choice Requires="x14">
            <control shapeId="1150" r:id="rId57" name="Drop Down 126">
              <controlPr defaultSize="0" autoLine="0" autoPict="0">
                <anchor moveWithCells="1">
                  <from>
                    <xdr:col>2</xdr:col>
                    <xdr:colOff>676275</xdr:colOff>
                    <xdr:row>11</xdr:row>
                    <xdr:rowOff>9525</xdr:rowOff>
                  </from>
                  <to>
                    <xdr:col>2</xdr:col>
                    <xdr:colOff>2000250</xdr:colOff>
                    <xdr:row>11</xdr:row>
                    <xdr:rowOff>228600</xdr:rowOff>
                  </to>
                </anchor>
              </controlPr>
            </control>
          </mc:Choice>
        </mc:AlternateContent>
        <mc:AlternateContent xmlns:mc="http://schemas.openxmlformats.org/markup-compatibility/2006">
          <mc:Choice Requires="x14">
            <control shapeId="1153" r:id="rId58" name="Drop Down 129">
              <controlPr defaultSize="0" autoLine="0" autoPict="0">
                <anchor moveWithCells="1">
                  <from>
                    <xdr:col>2</xdr:col>
                    <xdr:colOff>38100</xdr:colOff>
                    <xdr:row>5</xdr:row>
                    <xdr:rowOff>0</xdr:rowOff>
                  </from>
                  <to>
                    <xdr:col>2</xdr:col>
                    <xdr:colOff>2000250</xdr:colOff>
                    <xdr:row>5</xdr:row>
                    <xdr:rowOff>238125</xdr:rowOff>
                  </to>
                </anchor>
              </controlPr>
            </control>
          </mc:Choice>
        </mc:AlternateContent>
        <mc:AlternateContent xmlns:mc="http://schemas.openxmlformats.org/markup-compatibility/2006">
          <mc:Choice Requires="x14">
            <control shapeId="1156" r:id="rId59" name="Check Box 132">
              <controlPr defaultSize="0" autoFill="0" autoLine="0" autoPict="0">
                <anchor moveWithCells="1">
                  <from>
                    <xdr:col>2</xdr:col>
                    <xdr:colOff>0</xdr:colOff>
                    <xdr:row>95</xdr:row>
                    <xdr:rowOff>0</xdr:rowOff>
                  </from>
                  <to>
                    <xdr:col>2</xdr:col>
                    <xdr:colOff>1628775</xdr:colOff>
                    <xdr:row>95</xdr:row>
                    <xdr:rowOff>228600</xdr:rowOff>
                  </to>
                </anchor>
              </controlPr>
            </control>
          </mc:Choice>
        </mc:AlternateContent>
        <mc:AlternateContent xmlns:mc="http://schemas.openxmlformats.org/markup-compatibility/2006">
          <mc:Choice Requires="x14">
            <control shapeId="1157" r:id="rId60" name="Check Box 133">
              <controlPr defaultSize="0" autoFill="0" autoLine="0" autoPict="0">
                <anchor moveWithCells="1">
                  <from>
                    <xdr:col>2</xdr:col>
                    <xdr:colOff>0</xdr:colOff>
                    <xdr:row>65</xdr:row>
                    <xdr:rowOff>0</xdr:rowOff>
                  </from>
                  <to>
                    <xdr:col>2</xdr:col>
                    <xdr:colOff>1447800</xdr:colOff>
                    <xdr:row>65</xdr:row>
                    <xdr:rowOff>228600</xdr:rowOff>
                  </to>
                </anchor>
              </controlPr>
            </control>
          </mc:Choice>
        </mc:AlternateContent>
        <mc:AlternateContent xmlns:mc="http://schemas.openxmlformats.org/markup-compatibility/2006">
          <mc:Choice Requires="x14">
            <control shapeId="1158" r:id="rId61" name="Check Box 134">
              <controlPr defaultSize="0" autoFill="0" autoLine="0" autoPict="0">
                <anchor moveWithCells="1">
                  <from>
                    <xdr:col>2</xdr:col>
                    <xdr:colOff>0</xdr:colOff>
                    <xdr:row>59</xdr:row>
                    <xdr:rowOff>0</xdr:rowOff>
                  </from>
                  <to>
                    <xdr:col>2</xdr:col>
                    <xdr:colOff>1352550</xdr:colOff>
                    <xdr:row>59</xdr:row>
                    <xdr:rowOff>228600</xdr:rowOff>
                  </to>
                </anchor>
              </controlPr>
            </control>
          </mc:Choice>
        </mc:AlternateContent>
        <mc:AlternateContent xmlns:mc="http://schemas.openxmlformats.org/markup-compatibility/2006">
          <mc:Choice Requires="x14">
            <control shapeId="1159" r:id="rId62" name="Drop Down 135">
              <controlPr defaultSize="0" autoLine="0" autoPict="0">
                <anchor moveWithCells="1">
                  <from>
                    <xdr:col>2</xdr:col>
                    <xdr:colOff>676275</xdr:colOff>
                    <xdr:row>59</xdr:row>
                    <xdr:rowOff>0</xdr:rowOff>
                  </from>
                  <to>
                    <xdr:col>2</xdr:col>
                    <xdr:colOff>2009775</xdr:colOff>
                    <xdr:row>59</xdr:row>
                    <xdr:rowOff>200025</xdr:rowOff>
                  </to>
                </anchor>
              </controlPr>
            </control>
          </mc:Choice>
        </mc:AlternateContent>
        <mc:AlternateContent xmlns:mc="http://schemas.openxmlformats.org/markup-compatibility/2006">
          <mc:Choice Requires="x14">
            <control shapeId="1161" r:id="rId63" name="Drop Down 137">
              <controlPr defaultSize="0" autoLine="0" autoPict="0">
                <anchor moveWithCells="1">
                  <from>
                    <xdr:col>10</xdr:col>
                    <xdr:colOff>676275</xdr:colOff>
                    <xdr:row>43</xdr:row>
                    <xdr:rowOff>0</xdr:rowOff>
                  </from>
                  <to>
                    <xdr:col>10</xdr:col>
                    <xdr:colOff>2000250</xdr:colOff>
                    <xdr:row>43</xdr:row>
                    <xdr:rowOff>209550</xdr:rowOff>
                  </to>
                </anchor>
              </controlPr>
            </control>
          </mc:Choice>
        </mc:AlternateContent>
        <mc:AlternateContent xmlns:mc="http://schemas.openxmlformats.org/markup-compatibility/2006">
          <mc:Choice Requires="x14">
            <control shapeId="1163" r:id="rId64" name="Drop Down 139">
              <controlPr defaultSize="0" autoLine="0" autoPict="0">
                <anchor moveWithCells="1">
                  <from>
                    <xdr:col>2</xdr:col>
                    <xdr:colOff>666750</xdr:colOff>
                    <xdr:row>13</xdr:row>
                    <xdr:rowOff>28575</xdr:rowOff>
                  </from>
                  <to>
                    <xdr:col>2</xdr:col>
                    <xdr:colOff>2009775</xdr:colOff>
                    <xdr:row>14</xdr:row>
                    <xdr:rowOff>9525</xdr:rowOff>
                  </to>
                </anchor>
              </controlPr>
            </control>
          </mc:Choice>
        </mc:AlternateContent>
        <mc:AlternateContent xmlns:mc="http://schemas.openxmlformats.org/markup-compatibility/2006">
          <mc:Choice Requires="x14">
            <control shapeId="1171" r:id="rId65" name="Drop Down 147">
              <controlPr defaultSize="0" autoLine="0" autoPict="0">
                <anchor moveWithCells="1">
                  <from>
                    <xdr:col>10</xdr:col>
                    <xdr:colOff>19050</xdr:colOff>
                    <xdr:row>6</xdr:row>
                    <xdr:rowOff>19050</xdr:rowOff>
                  </from>
                  <to>
                    <xdr:col>11</xdr:col>
                    <xdr:colOff>0</xdr:colOff>
                    <xdr:row>6</xdr:row>
                    <xdr:rowOff>219075</xdr:rowOff>
                  </to>
                </anchor>
              </controlPr>
            </control>
          </mc:Choice>
        </mc:AlternateContent>
        <mc:AlternateContent xmlns:mc="http://schemas.openxmlformats.org/markup-compatibility/2006">
          <mc:Choice Requires="x14">
            <control shapeId="1177" r:id="rId66" name="Drop Down 153">
              <controlPr defaultSize="0" autoLine="0" autoPict="0">
                <anchor moveWithCells="1">
                  <from>
                    <xdr:col>10</xdr:col>
                    <xdr:colOff>19050</xdr:colOff>
                    <xdr:row>7</xdr:row>
                    <xdr:rowOff>0</xdr:rowOff>
                  </from>
                  <to>
                    <xdr:col>11</xdr:col>
                    <xdr:colOff>0</xdr:colOff>
                    <xdr:row>7</xdr:row>
                    <xdr:rowOff>200025</xdr:rowOff>
                  </to>
                </anchor>
              </controlPr>
            </control>
          </mc:Choice>
        </mc:AlternateContent>
        <mc:AlternateContent xmlns:mc="http://schemas.openxmlformats.org/markup-compatibility/2006">
          <mc:Choice Requires="x14">
            <control shapeId="1180" r:id="rId67" name="Drop Down 156">
              <controlPr defaultSize="0" autoLine="0" autoPict="0">
                <anchor moveWithCells="1">
                  <from>
                    <xdr:col>10</xdr:col>
                    <xdr:colOff>19050</xdr:colOff>
                    <xdr:row>9</xdr:row>
                    <xdr:rowOff>19050</xdr:rowOff>
                  </from>
                  <to>
                    <xdr:col>11</xdr:col>
                    <xdr:colOff>0</xdr:colOff>
                    <xdr:row>9</xdr:row>
                    <xdr:rowOff>219075</xdr:rowOff>
                  </to>
                </anchor>
              </controlPr>
            </control>
          </mc:Choice>
        </mc:AlternateContent>
        <mc:AlternateContent xmlns:mc="http://schemas.openxmlformats.org/markup-compatibility/2006">
          <mc:Choice Requires="x14">
            <control shapeId="1182" r:id="rId68" name="Drop Down 158">
              <controlPr defaultSize="0" autoLine="0" autoPict="0">
                <anchor moveWithCells="1">
                  <from>
                    <xdr:col>10</xdr:col>
                    <xdr:colOff>19050</xdr:colOff>
                    <xdr:row>10</xdr:row>
                    <xdr:rowOff>19050</xdr:rowOff>
                  </from>
                  <to>
                    <xdr:col>11</xdr:col>
                    <xdr:colOff>0</xdr:colOff>
                    <xdr:row>10</xdr:row>
                    <xdr:rowOff>219075</xdr:rowOff>
                  </to>
                </anchor>
              </controlPr>
            </control>
          </mc:Choice>
        </mc:AlternateContent>
        <mc:AlternateContent xmlns:mc="http://schemas.openxmlformats.org/markup-compatibility/2006">
          <mc:Choice Requires="x14">
            <control shapeId="1183" r:id="rId69" name="Drop Down 159">
              <controlPr defaultSize="0" autoLine="0" autoPict="0">
                <anchor moveWithCells="1">
                  <from>
                    <xdr:col>10</xdr:col>
                    <xdr:colOff>19050</xdr:colOff>
                    <xdr:row>11</xdr:row>
                    <xdr:rowOff>19050</xdr:rowOff>
                  </from>
                  <to>
                    <xdr:col>11</xdr:col>
                    <xdr:colOff>0</xdr:colOff>
                    <xdr:row>11</xdr:row>
                    <xdr:rowOff>219075</xdr:rowOff>
                  </to>
                </anchor>
              </controlPr>
            </control>
          </mc:Choice>
        </mc:AlternateContent>
        <mc:AlternateContent xmlns:mc="http://schemas.openxmlformats.org/markup-compatibility/2006">
          <mc:Choice Requires="x14">
            <control shapeId="1184" r:id="rId70" name="Drop Down 160">
              <controlPr defaultSize="0" autoLine="0" autoPict="0">
                <anchor moveWithCells="1">
                  <from>
                    <xdr:col>10</xdr:col>
                    <xdr:colOff>19050</xdr:colOff>
                    <xdr:row>12</xdr:row>
                    <xdr:rowOff>19050</xdr:rowOff>
                  </from>
                  <to>
                    <xdr:col>11</xdr:col>
                    <xdr:colOff>0</xdr:colOff>
                    <xdr:row>12</xdr:row>
                    <xdr:rowOff>219075</xdr:rowOff>
                  </to>
                </anchor>
              </controlPr>
            </control>
          </mc:Choice>
        </mc:AlternateContent>
        <mc:AlternateContent xmlns:mc="http://schemas.openxmlformats.org/markup-compatibility/2006">
          <mc:Choice Requires="x14">
            <control shapeId="1185" r:id="rId71" name="Drop Down 161">
              <controlPr defaultSize="0" autoLine="0" autoPict="0">
                <anchor moveWithCells="1">
                  <from>
                    <xdr:col>10</xdr:col>
                    <xdr:colOff>19050</xdr:colOff>
                    <xdr:row>13</xdr:row>
                    <xdr:rowOff>19050</xdr:rowOff>
                  </from>
                  <to>
                    <xdr:col>11</xdr:col>
                    <xdr:colOff>0</xdr:colOff>
                    <xdr:row>13</xdr:row>
                    <xdr:rowOff>219075</xdr:rowOff>
                  </to>
                </anchor>
              </controlPr>
            </control>
          </mc:Choice>
        </mc:AlternateContent>
        <mc:AlternateContent xmlns:mc="http://schemas.openxmlformats.org/markup-compatibility/2006">
          <mc:Choice Requires="x14">
            <control shapeId="1186" r:id="rId72" name="Drop Down 162">
              <controlPr defaultSize="0" autoLine="0" autoPict="0">
                <anchor moveWithCells="1">
                  <from>
                    <xdr:col>10</xdr:col>
                    <xdr:colOff>19050</xdr:colOff>
                    <xdr:row>14</xdr:row>
                    <xdr:rowOff>19050</xdr:rowOff>
                  </from>
                  <to>
                    <xdr:col>11</xdr:col>
                    <xdr:colOff>0</xdr:colOff>
                    <xdr:row>14</xdr:row>
                    <xdr:rowOff>219075</xdr:rowOff>
                  </to>
                </anchor>
              </controlPr>
            </control>
          </mc:Choice>
        </mc:AlternateContent>
        <mc:AlternateContent xmlns:mc="http://schemas.openxmlformats.org/markup-compatibility/2006">
          <mc:Choice Requires="x14">
            <control shapeId="1187" r:id="rId73" name="Drop Down 163">
              <controlPr defaultSize="0" autoLine="0" autoPict="0">
                <anchor moveWithCells="1">
                  <from>
                    <xdr:col>10</xdr:col>
                    <xdr:colOff>19050</xdr:colOff>
                    <xdr:row>15</xdr:row>
                    <xdr:rowOff>19050</xdr:rowOff>
                  </from>
                  <to>
                    <xdr:col>11</xdr:col>
                    <xdr:colOff>0</xdr:colOff>
                    <xdr:row>15</xdr:row>
                    <xdr:rowOff>219075</xdr:rowOff>
                  </to>
                </anchor>
              </controlPr>
            </control>
          </mc:Choice>
        </mc:AlternateContent>
        <mc:AlternateContent xmlns:mc="http://schemas.openxmlformats.org/markup-compatibility/2006">
          <mc:Choice Requires="x14">
            <control shapeId="1188" r:id="rId74" name="Drop Down 164">
              <controlPr defaultSize="0" autoLine="0" autoPict="0">
                <anchor moveWithCells="1">
                  <from>
                    <xdr:col>10</xdr:col>
                    <xdr:colOff>19050</xdr:colOff>
                    <xdr:row>16</xdr:row>
                    <xdr:rowOff>19050</xdr:rowOff>
                  </from>
                  <to>
                    <xdr:col>11</xdr:col>
                    <xdr:colOff>0</xdr:colOff>
                    <xdr:row>16</xdr:row>
                    <xdr:rowOff>219075</xdr:rowOff>
                  </to>
                </anchor>
              </controlPr>
            </control>
          </mc:Choice>
        </mc:AlternateContent>
        <mc:AlternateContent xmlns:mc="http://schemas.openxmlformats.org/markup-compatibility/2006">
          <mc:Choice Requires="x14">
            <control shapeId="1189" r:id="rId75" name="Drop Down 165">
              <controlPr defaultSize="0" autoLine="0" autoPict="0">
                <anchor moveWithCells="1">
                  <from>
                    <xdr:col>10</xdr:col>
                    <xdr:colOff>19050</xdr:colOff>
                    <xdr:row>17</xdr:row>
                    <xdr:rowOff>19050</xdr:rowOff>
                  </from>
                  <to>
                    <xdr:col>11</xdr:col>
                    <xdr:colOff>0</xdr:colOff>
                    <xdr:row>17</xdr:row>
                    <xdr:rowOff>219075</xdr:rowOff>
                  </to>
                </anchor>
              </controlPr>
            </control>
          </mc:Choice>
        </mc:AlternateContent>
        <mc:AlternateContent xmlns:mc="http://schemas.openxmlformats.org/markup-compatibility/2006">
          <mc:Choice Requires="x14">
            <control shapeId="1190" r:id="rId76" name="Drop Down 166">
              <controlPr defaultSize="0" autoLine="0" autoPict="0">
                <anchor moveWithCells="1">
                  <from>
                    <xdr:col>10</xdr:col>
                    <xdr:colOff>19050</xdr:colOff>
                    <xdr:row>18</xdr:row>
                    <xdr:rowOff>19050</xdr:rowOff>
                  </from>
                  <to>
                    <xdr:col>11</xdr:col>
                    <xdr:colOff>0</xdr:colOff>
                    <xdr:row>18</xdr:row>
                    <xdr:rowOff>219075</xdr:rowOff>
                  </to>
                </anchor>
              </controlPr>
            </control>
          </mc:Choice>
        </mc:AlternateContent>
        <mc:AlternateContent xmlns:mc="http://schemas.openxmlformats.org/markup-compatibility/2006">
          <mc:Choice Requires="x14">
            <control shapeId="1191" r:id="rId77" name="Drop Down 167">
              <controlPr defaultSize="0" autoLine="0" autoPict="0">
                <anchor moveWithCells="1">
                  <from>
                    <xdr:col>10</xdr:col>
                    <xdr:colOff>19050</xdr:colOff>
                    <xdr:row>19</xdr:row>
                    <xdr:rowOff>19050</xdr:rowOff>
                  </from>
                  <to>
                    <xdr:col>11</xdr:col>
                    <xdr:colOff>0</xdr:colOff>
                    <xdr:row>19</xdr:row>
                    <xdr:rowOff>219075</xdr:rowOff>
                  </to>
                </anchor>
              </controlPr>
            </control>
          </mc:Choice>
        </mc:AlternateContent>
        <mc:AlternateContent xmlns:mc="http://schemas.openxmlformats.org/markup-compatibility/2006">
          <mc:Choice Requires="x14">
            <control shapeId="1192" r:id="rId78" name="Drop Down 168">
              <controlPr defaultSize="0" autoLine="0" autoPict="0">
                <anchor moveWithCells="1">
                  <from>
                    <xdr:col>10</xdr:col>
                    <xdr:colOff>19050</xdr:colOff>
                    <xdr:row>20</xdr:row>
                    <xdr:rowOff>19050</xdr:rowOff>
                  </from>
                  <to>
                    <xdr:col>11</xdr:col>
                    <xdr:colOff>0</xdr:colOff>
                    <xdr:row>20</xdr:row>
                    <xdr:rowOff>219075</xdr:rowOff>
                  </to>
                </anchor>
              </controlPr>
            </control>
          </mc:Choice>
        </mc:AlternateContent>
        <mc:AlternateContent xmlns:mc="http://schemas.openxmlformats.org/markup-compatibility/2006">
          <mc:Choice Requires="x14">
            <control shapeId="1193" r:id="rId79" name="Drop Down 169">
              <controlPr defaultSize="0" autoLine="0" autoPict="0">
                <anchor moveWithCells="1">
                  <from>
                    <xdr:col>10</xdr:col>
                    <xdr:colOff>19050</xdr:colOff>
                    <xdr:row>21</xdr:row>
                    <xdr:rowOff>19050</xdr:rowOff>
                  </from>
                  <to>
                    <xdr:col>11</xdr:col>
                    <xdr:colOff>0</xdr:colOff>
                    <xdr:row>21</xdr:row>
                    <xdr:rowOff>219075</xdr:rowOff>
                  </to>
                </anchor>
              </controlPr>
            </control>
          </mc:Choice>
        </mc:AlternateContent>
        <mc:AlternateContent xmlns:mc="http://schemas.openxmlformats.org/markup-compatibility/2006">
          <mc:Choice Requires="x14">
            <control shapeId="1194" r:id="rId80" name="Drop Down 170">
              <controlPr defaultSize="0" autoLine="0" autoPict="0">
                <anchor moveWithCells="1">
                  <from>
                    <xdr:col>10</xdr:col>
                    <xdr:colOff>19050</xdr:colOff>
                    <xdr:row>22</xdr:row>
                    <xdr:rowOff>19050</xdr:rowOff>
                  </from>
                  <to>
                    <xdr:col>11</xdr:col>
                    <xdr:colOff>0</xdr:colOff>
                    <xdr:row>22</xdr:row>
                    <xdr:rowOff>219075</xdr:rowOff>
                  </to>
                </anchor>
              </controlPr>
            </control>
          </mc:Choice>
        </mc:AlternateContent>
        <mc:AlternateContent xmlns:mc="http://schemas.openxmlformats.org/markup-compatibility/2006">
          <mc:Choice Requires="x14">
            <control shapeId="1195" r:id="rId81" name="Drop Down 171">
              <controlPr defaultSize="0" autoLine="0" autoPict="0">
                <anchor moveWithCells="1">
                  <from>
                    <xdr:col>10</xdr:col>
                    <xdr:colOff>19050</xdr:colOff>
                    <xdr:row>23</xdr:row>
                    <xdr:rowOff>19050</xdr:rowOff>
                  </from>
                  <to>
                    <xdr:col>11</xdr:col>
                    <xdr:colOff>0</xdr:colOff>
                    <xdr:row>23</xdr:row>
                    <xdr:rowOff>219075</xdr:rowOff>
                  </to>
                </anchor>
              </controlPr>
            </control>
          </mc:Choice>
        </mc:AlternateContent>
        <mc:AlternateContent xmlns:mc="http://schemas.openxmlformats.org/markup-compatibility/2006">
          <mc:Choice Requires="x14">
            <control shapeId="1196" r:id="rId82" name="Drop Down 172">
              <controlPr defaultSize="0" autoLine="0" autoPict="0">
                <anchor moveWithCells="1">
                  <from>
                    <xdr:col>10</xdr:col>
                    <xdr:colOff>19050</xdr:colOff>
                    <xdr:row>24</xdr:row>
                    <xdr:rowOff>19050</xdr:rowOff>
                  </from>
                  <to>
                    <xdr:col>11</xdr:col>
                    <xdr:colOff>0</xdr:colOff>
                    <xdr:row>24</xdr:row>
                    <xdr:rowOff>219075</xdr:rowOff>
                  </to>
                </anchor>
              </controlPr>
            </control>
          </mc:Choice>
        </mc:AlternateContent>
        <mc:AlternateContent xmlns:mc="http://schemas.openxmlformats.org/markup-compatibility/2006">
          <mc:Choice Requires="x14">
            <control shapeId="1197" r:id="rId83" name="Drop Down 173">
              <controlPr defaultSize="0" autoLine="0" autoPict="0">
                <anchor moveWithCells="1">
                  <from>
                    <xdr:col>10</xdr:col>
                    <xdr:colOff>19050</xdr:colOff>
                    <xdr:row>27</xdr:row>
                    <xdr:rowOff>0</xdr:rowOff>
                  </from>
                  <to>
                    <xdr:col>11</xdr:col>
                    <xdr:colOff>0</xdr:colOff>
                    <xdr:row>27</xdr:row>
                    <xdr:rowOff>190500</xdr:rowOff>
                  </to>
                </anchor>
              </controlPr>
            </control>
          </mc:Choice>
        </mc:AlternateContent>
        <mc:AlternateContent xmlns:mc="http://schemas.openxmlformats.org/markup-compatibility/2006">
          <mc:Choice Requires="x14">
            <control shapeId="1198" r:id="rId84" name="Drop Down 174">
              <controlPr defaultSize="0" autoLine="0" autoPict="0">
                <anchor moveWithCells="1">
                  <from>
                    <xdr:col>10</xdr:col>
                    <xdr:colOff>19050</xdr:colOff>
                    <xdr:row>27</xdr:row>
                    <xdr:rowOff>19050</xdr:rowOff>
                  </from>
                  <to>
                    <xdr:col>11</xdr:col>
                    <xdr:colOff>0</xdr:colOff>
                    <xdr:row>27</xdr:row>
                    <xdr:rowOff>219075</xdr:rowOff>
                  </to>
                </anchor>
              </controlPr>
            </control>
          </mc:Choice>
        </mc:AlternateContent>
        <mc:AlternateContent xmlns:mc="http://schemas.openxmlformats.org/markup-compatibility/2006">
          <mc:Choice Requires="x14">
            <control shapeId="1199" r:id="rId85" name="Drop Down 175">
              <controlPr defaultSize="0" autoLine="0" autoPict="0">
                <anchor moveWithCells="1">
                  <from>
                    <xdr:col>10</xdr:col>
                    <xdr:colOff>19050</xdr:colOff>
                    <xdr:row>28</xdr:row>
                    <xdr:rowOff>19050</xdr:rowOff>
                  </from>
                  <to>
                    <xdr:col>11</xdr:col>
                    <xdr:colOff>0</xdr:colOff>
                    <xdr:row>28</xdr:row>
                    <xdr:rowOff>219075</xdr:rowOff>
                  </to>
                </anchor>
              </controlPr>
            </control>
          </mc:Choice>
        </mc:AlternateContent>
        <mc:AlternateContent xmlns:mc="http://schemas.openxmlformats.org/markup-compatibility/2006">
          <mc:Choice Requires="x14">
            <control shapeId="1200" r:id="rId86" name="Drop Down 176">
              <controlPr defaultSize="0" autoLine="0" autoPict="0">
                <anchor moveWithCells="1">
                  <from>
                    <xdr:col>10</xdr:col>
                    <xdr:colOff>19050</xdr:colOff>
                    <xdr:row>29</xdr:row>
                    <xdr:rowOff>19050</xdr:rowOff>
                  </from>
                  <to>
                    <xdr:col>11</xdr:col>
                    <xdr:colOff>0</xdr:colOff>
                    <xdr:row>29</xdr:row>
                    <xdr:rowOff>219075</xdr:rowOff>
                  </to>
                </anchor>
              </controlPr>
            </control>
          </mc:Choice>
        </mc:AlternateContent>
        <mc:AlternateContent xmlns:mc="http://schemas.openxmlformats.org/markup-compatibility/2006">
          <mc:Choice Requires="x14">
            <control shapeId="1201" r:id="rId87" name="Drop Down 177">
              <controlPr defaultSize="0" autoLine="0" autoPict="0">
                <anchor moveWithCells="1">
                  <from>
                    <xdr:col>10</xdr:col>
                    <xdr:colOff>19050</xdr:colOff>
                    <xdr:row>30</xdr:row>
                    <xdr:rowOff>19050</xdr:rowOff>
                  </from>
                  <to>
                    <xdr:col>11</xdr:col>
                    <xdr:colOff>0</xdr:colOff>
                    <xdr:row>30</xdr:row>
                    <xdr:rowOff>219075</xdr:rowOff>
                  </to>
                </anchor>
              </controlPr>
            </control>
          </mc:Choice>
        </mc:AlternateContent>
        <mc:AlternateContent xmlns:mc="http://schemas.openxmlformats.org/markup-compatibility/2006">
          <mc:Choice Requires="x14">
            <control shapeId="1202" r:id="rId88" name="Drop Down 178">
              <controlPr defaultSize="0" autoLine="0" autoPict="0">
                <anchor moveWithCells="1">
                  <from>
                    <xdr:col>10</xdr:col>
                    <xdr:colOff>19050</xdr:colOff>
                    <xdr:row>31</xdr:row>
                    <xdr:rowOff>19050</xdr:rowOff>
                  </from>
                  <to>
                    <xdr:col>11</xdr:col>
                    <xdr:colOff>0</xdr:colOff>
                    <xdr:row>31</xdr:row>
                    <xdr:rowOff>219075</xdr:rowOff>
                  </to>
                </anchor>
              </controlPr>
            </control>
          </mc:Choice>
        </mc:AlternateContent>
        <mc:AlternateContent xmlns:mc="http://schemas.openxmlformats.org/markup-compatibility/2006">
          <mc:Choice Requires="x14">
            <control shapeId="1203" r:id="rId89" name="Drop Down 179">
              <controlPr defaultSize="0" autoLine="0" autoPict="0">
                <anchor moveWithCells="1">
                  <from>
                    <xdr:col>10</xdr:col>
                    <xdr:colOff>19050</xdr:colOff>
                    <xdr:row>32</xdr:row>
                    <xdr:rowOff>19050</xdr:rowOff>
                  </from>
                  <to>
                    <xdr:col>11</xdr:col>
                    <xdr:colOff>0</xdr:colOff>
                    <xdr:row>32</xdr:row>
                    <xdr:rowOff>219075</xdr:rowOff>
                  </to>
                </anchor>
              </controlPr>
            </control>
          </mc:Choice>
        </mc:AlternateContent>
        <mc:AlternateContent xmlns:mc="http://schemas.openxmlformats.org/markup-compatibility/2006">
          <mc:Choice Requires="x14">
            <control shapeId="1204" r:id="rId90" name="Drop Down 180">
              <controlPr defaultSize="0" autoLine="0" autoPict="0">
                <anchor moveWithCells="1">
                  <from>
                    <xdr:col>10</xdr:col>
                    <xdr:colOff>19050</xdr:colOff>
                    <xdr:row>33</xdr:row>
                    <xdr:rowOff>19050</xdr:rowOff>
                  </from>
                  <to>
                    <xdr:col>11</xdr:col>
                    <xdr:colOff>0</xdr:colOff>
                    <xdr:row>33</xdr:row>
                    <xdr:rowOff>219075</xdr:rowOff>
                  </to>
                </anchor>
              </controlPr>
            </control>
          </mc:Choice>
        </mc:AlternateContent>
        <mc:AlternateContent xmlns:mc="http://schemas.openxmlformats.org/markup-compatibility/2006">
          <mc:Choice Requires="x14">
            <control shapeId="1205" r:id="rId91" name="Drop Down 181">
              <controlPr defaultSize="0" autoLine="0" autoPict="0">
                <anchor moveWithCells="1">
                  <from>
                    <xdr:col>10</xdr:col>
                    <xdr:colOff>19050</xdr:colOff>
                    <xdr:row>34</xdr:row>
                    <xdr:rowOff>19050</xdr:rowOff>
                  </from>
                  <to>
                    <xdr:col>11</xdr:col>
                    <xdr:colOff>0</xdr:colOff>
                    <xdr:row>34</xdr:row>
                    <xdr:rowOff>219075</xdr:rowOff>
                  </to>
                </anchor>
              </controlPr>
            </control>
          </mc:Choice>
        </mc:AlternateContent>
        <mc:AlternateContent xmlns:mc="http://schemas.openxmlformats.org/markup-compatibility/2006">
          <mc:Choice Requires="x14">
            <control shapeId="1206" r:id="rId92" name="Drop Down 182">
              <controlPr defaultSize="0" autoLine="0" autoPict="0">
                <anchor moveWithCells="1">
                  <from>
                    <xdr:col>10</xdr:col>
                    <xdr:colOff>19050</xdr:colOff>
                    <xdr:row>35</xdr:row>
                    <xdr:rowOff>19050</xdr:rowOff>
                  </from>
                  <to>
                    <xdr:col>11</xdr:col>
                    <xdr:colOff>0</xdr:colOff>
                    <xdr:row>35</xdr:row>
                    <xdr:rowOff>219075</xdr:rowOff>
                  </to>
                </anchor>
              </controlPr>
            </control>
          </mc:Choice>
        </mc:AlternateContent>
        <mc:AlternateContent xmlns:mc="http://schemas.openxmlformats.org/markup-compatibility/2006">
          <mc:Choice Requires="x14">
            <control shapeId="1207" r:id="rId93" name="Drop Down 183">
              <controlPr defaultSize="0" autoLine="0" autoPict="0">
                <anchor moveWithCells="1">
                  <from>
                    <xdr:col>10</xdr:col>
                    <xdr:colOff>19050</xdr:colOff>
                    <xdr:row>36</xdr:row>
                    <xdr:rowOff>19050</xdr:rowOff>
                  </from>
                  <to>
                    <xdr:col>11</xdr:col>
                    <xdr:colOff>0</xdr:colOff>
                    <xdr:row>36</xdr:row>
                    <xdr:rowOff>219075</xdr:rowOff>
                  </to>
                </anchor>
              </controlPr>
            </control>
          </mc:Choice>
        </mc:AlternateContent>
        <mc:AlternateContent xmlns:mc="http://schemas.openxmlformats.org/markup-compatibility/2006">
          <mc:Choice Requires="x14">
            <control shapeId="1208" r:id="rId94" name="Drop Down 184">
              <controlPr defaultSize="0" autoLine="0" autoPict="0">
                <anchor moveWithCells="1">
                  <from>
                    <xdr:col>10</xdr:col>
                    <xdr:colOff>19050</xdr:colOff>
                    <xdr:row>37</xdr:row>
                    <xdr:rowOff>19050</xdr:rowOff>
                  </from>
                  <to>
                    <xdr:col>11</xdr:col>
                    <xdr:colOff>0</xdr:colOff>
                    <xdr:row>37</xdr:row>
                    <xdr:rowOff>219075</xdr:rowOff>
                  </to>
                </anchor>
              </controlPr>
            </control>
          </mc:Choice>
        </mc:AlternateContent>
        <mc:AlternateContent xmlns:mc="http://schemas.openxmlformats.org/markup-compatibility/2006">
          <mc:Choice Requires="x14">
            <control shapeId="1209" r:id="rId95" name="Drop Down 185">
              <controlPr defaultSize="0" autoLine="0" autoPict="0">
                <anchor moveWithCells="1">
                  <from>
                    <xdr:col>10</xdr:col>
                    <xdr:colOff>19050</xdr:colOff>
                    <xdr:row>38</xdr:row>
                    <xdr:rowOff>19050</xdr:rowOff>
                  </from>
                  <to>
                    <xdr:col>11</xdr:col>
                    <xdr:colOff>0</xdr:colOff>
                    <xdr:row>38</xdr:row>
                    <xdr:rowOff>219075</xdr:rowOff>
                  </to>
                </anchor>
              </controlPr>
            </control>
          </mc:Choice>
        </mc:AlternateContent>
        <mc:AlternateContent xmlns:mc="http://schemas.openxmlformats.org/markup-compatibility/2006">
          <mc:Choice Requires="x14">
            <control shapeId="1210" r:id="rId96" name="Drop Down 186">
              <controlPr defaultSize="0" autoLine="0" autoPict="0">
                <anchor moveWithCells="1">
                  <from>
                    <xdr:col>10</xdr:col>
                    <xdr:colOff>19050</xdr:colOff>
                    <xdr:row>39</xdr:row>
                    <xdr:rowOff>19050</xdr:rowOff>
                  </from>
                  <to>
                    <xdr:col>11</xdr:col>
                    <xdr:colOff>0</xdr:colOff>
                    <xdr:row>39</xdr:row>
                    <xdr:rowOff>219075</xdr:rowOff>
                  </to>
                </anchor>
              </controlPr>
            </control>
          </mc:Choice>
        </mc:AlternateContent>
        <mc:AlternateContent xmlns:mc="http://schemas.openxmlformats.org/markup-compatibility/2006">
          <mc:Choice Requires="x14">
            <control shapeId="1211" r:id="rId97" name="Drop Down 187">
              <controlPr defaultSize="0" autoLine="0" autoPict="0">
                <anchor moveWithCells="1">
                  <from>
                    <xdr:col>10</xdr:col>
                    <xdr:colOff>19050</xdr:colOff>
                    <xdr:row>40</xdr:row>
                    <xdr:rowOff>19050</xdr:rowOff>
                  </from>
                  <to>
                    <xdr:col>11</xdr:col>
                    <xdr:colOff>0</xdr:colOff>
                    <xdr:row>40</xdr:row>
                    <xdr:rowOff>219075</xdr:rowOff>
                  </to>
                </anchor>
              </controlPr>
            </control>
          </mc:Choice>
        </mc:AlternateContent>
        <mc:AlternateContent xmlns:mc="http://schemas.openxmlformats.org/markup-compatibility/2006">
          <mc:Choice Requires="x14">
            <control shapeId="1212" r:id="rId98" name="Drop Down 188">
              <controlPr defaultSize="0" autoLine="0" autoPict="0">
                <anchor moveWithCells="1">
                  <from>
                    <xdr:col>10</xdr:col>
                    <xdr:colOff>19050</xdr:colOff>
                    <xdr:row>8</xdr:row>
                    <xdr:rowOff>19050</xdr:rowOff>
                  </from>
                  <to>
                    <xdr:col>11</xdr:col>
                    <xdr:colOff>0</xdr:colOff>
                    <xdr:row>8</xdr:row>
                    <xdr:rowOff>219075</xdr:rowOff>
                  </to>
                </anchor>
              </controlPr>
            </control>
          </mc:Choice>
        </mc:AlternateContent>
        <mc:AlternateContent xmlns:mc="http://schemas.openxmlformats.org/markup-compatibility/2006">
          <mc:Choice Requires="x14">
            <control shapeId="1213" r:id="rId99" name="Check Box 189">
              <controlPr defaultSize="0" autoFill="0" autoLine="0" autoPict="0">
                <anchor moveWithCells="1">
                  <from>
                    <xdr:col>2</xdr:col>
                    <xdr:colOff>0</xdr:colOff>
                    <xdr:row>15</xdr:row>
                    <xdr:rowOff>0</xdr:rowOff>
                  </from>
                  <to>
                    <xdr:col>2</xdr:col>
                    <xdr:colOff>1647825</xdr:colOff>
                    <xdr:row>15</xdr:row>
                    <xdr:rowOff>228600</xdr:rowOff>
                  </to>
                </anchor>
              </controlPr>
            </control>
          </mc:Choice>
        </mc:AlternateContent>
        <mc:AlternateContent xmlns:mc="http://schemas.openxmlformats.org/markup-compatibility/2006">
          <mc:Choice Requires="x14">
            <control shapeId="1216" r:id="rId100" name="Option Button 192">
              <controlPr defaultSize="0" autoFill="0" autoLine="0" autoPict="0" altText="Implement SB 114">
                <anchor moveWithCells="1">
                  <from>
                    <xdr:col>2</xdr:col>
                    <xdr:colOff>0</xdr:colOff>
                    <xdr:row>14</xdr:row>
                    <xdr:rowOff>9525</xdr:rowOff>
                  </from>
                  <to>
                    <xdr:col>3</xdr:col>
                    <xdr:colOff>19050</xdr:colOff>
                    <xdr:row>14</xdr:row>
                    <xdr:rowOff>238125</xdr:rowOff>
                  </to>
                </anchor>
              </controlPr>
            </control>
          </mc:Choice>
        </mc:AlternateContent>
        <mc:AlternateContent xmlns:mc="http://schemas.openxmlformats.org/markup-compatibility/2006">
          <mc:Choice Requires="x14">
            <control shapeId="1218" r:id="rId101" name="Check Box 194">
              <controlPr defaultSize="0" autoFill="0" autoLine="0" autoPict="0">
                <anchor moveWithCells="1">
                  <from>
                    <xdr:col>2</xdr:col>
                    <xdr:colOff>0</xdr:colOff>
                    <xdr:row>76</xdr:row>
                    <xdr:rowOff>0</xdr:rowOff>
                  </from>
                  <to>
                    <xdr:col>2</xdr:col>
                    <xdr:colOff>1447800</xdr:colOff>
                    <xdr:row>76</xdr:row>
                    <xdr:rowOff>228600</xdr:rowOff>
                  </to>
                </anchor>
              </controlPr>
            </control>
          </mc:Choice>
        </mc:AlternateContent>
        <mc:AlternateContent xmlns:mc="http://schemas.openxmlformats.org/markup-compatibility/2006">
          <mc:Choice Requires="x14">
            <control shapeId="1221" r:id="rId102" name="Check Box 197">
              <controlPr defaultSize="0" autoFill="0" autoLine="0" autoPict="0">
                <anchor moveWithCells="1">
                  <from>
                    <xdr:col>2</xdr:col>
                    <xdr:colOff>0</xdr:colOff>
                    <xdr:row>61</xdr:row>
                    <xdr:rowOff>0</xdr:rowOff>
                  </from>
                  <to>
                    <xdr:col>2</xdr:col>
                    <xdr:colOff>1314450</xdr:colOff>
                    <xdr:row>61</xdr:row>
                    <xdr:rowOff>228600</xdr:rowOff>
                  </to>
                </anchor>
              </controlPr>
            </control>
          </mc:Choice>
        </mc:AlternateContent>
        <mc:AlternateContent xmlns:mc="http://schemas.openxmlformats.org/markup-compatibility/2006">
          <mc:Choice Requires="x14">
            <control shapeId="1222" r:id="rId103" name="Drop Down 198">
              <controlPr defaultSize="0" autoLine="0" autoPict="0">
                <anchor moveWithCells="1">
                  <from>
                    <xdr:col>2</xdr:col>
                    <xdr:colOff>676275</xdr:colOff>
                    <xdr:row>61</xdr:row>
                    <xdr:rowOff>0</xdr:rowOff>
                  </from>
                  <to>
                    <xdr:col>2</xdr:col>
                    <xdr:colOff>2000250</xdr:colOff>
                    <xdr:row>61</xdr:row>
                    <xdr:rowOff>209550</xdr:rowOff>
                  </to>
                </anchor>
              </controlPr>
            </control>
          </mc:Choice>
        </mc:AlternateContent>
        <mc:AlternateContent xmlns:mc="http://schemas.openxmlformats.org/markup-compatibility/2006">
          <mc:Choice Requires="x14">
            <control shapeId="1223" r:id="rId104" name="Check Box 199">
              <controlPr defaultSize="0" autoFill="0" autoLine="0" autoPict="0">
                <anchor moveWithCells="1">
                  <from>
                    <xdr:col>2</xdr:col>
                    <xdr:colOff>0</xdr:colOff>
                    <xdr:row>88</xdr:row>
                    <xdr:rowOff>0</xdr:rowOff>
                  </from>
                  <to>
                    <xdr:col>2</xdr:col>
                    <xdr:colOff>1314450</xdr:colOff>
                    <xdr:row>88</xdr:row>
                    <xdr:rowOff>228600</xdr:rowOff>
                  </to>
                </anchor>
              </controlPr>
            </control>
          </mc:Choice>
        </mc:AlternateContent>
        <mc:AlternateContent xmlns:mc="http://schemas.openxmlformats.org/markup-compatibility/2006">
          <mc:Choice Requires="x14">
            <control shapeId="1224" r:id="rId105" name="Drop Down 200">
              <controlPr defaultSize="0" autoLine="0" autoPict="0">
                <anchor moveWithCells="1">
                  <from>
                    <xdr:col>2</xdr:col>
                    <xdr:colOff>676275</xdr:colOff>
                    <xdr:row>88</xdr:row>
                    <xdr:rowOff>0</xdr:rowOff>
                  </from>
                  <to>
                    <xdr:col>2</xdr:col>
                    <xdr:colOff>2000250</xdr:colOff>
                    <xdr:row>88</xdr:row>
                    <xdr:rowOff>209550</xdr:rowOff>
                  </to>
                </anchor>
              </controlPr>
            </control>
          </mc:Choice>
        </mc:AlternateContent>
        <mc:AlternateContent xmlns:mc="http://schemas.openxmlformats.org/markup-compatibility/2006">
          <mc:Choice Requires="x14">
            <control shapeId="1225" r:id="rId106" name="Check Box 201">
              <controlPr defaultSize="0" autoFill="0" autoLine="0" autoPict="0">
                <anchor moveWithCells="1">
                  <from>
                    <xdr:col>2</xdr:col>
                    <xdr:colOff>0</xdr:colOff>
                    <xdr:row>89</xdr:row>
                    <xdr:rowOff>0</xdr:rowOff>
                  </from>
                  <to>
                    <xdr:col>2</xdr:col>
                    <xdr:colOff>1314450</xdr:colOff>
                    <xdr:row>89</xdr:row>
                    <xdr:rowOff>228600</xdr:rowOff>
                  </to>
                </anchor>
              </controlPr>
            </control>
          </mc:Choice>
        </mc:AlternateContent>
        <mc:AlternateContent xmlns:mc="http://schemas.openxmlformats.org/markup-compatibility/2006">
          <mc:Choice Requires="x14">
            <control shapeId="1226" r:id="rId107" name="Drop Down 202">
              <controlPr defaultSize="0" autoLine="0" autoPict="0">
                <anchor moveWithCells="1">
                  <from>
                    <xdr:col>2</xdr:col>
                    <xdr:colOff>676275</xdr:colOff>
                    <xdr:row>89</xdr:row>
                    <xdr:rowOff>0</xdr:rowOff>
                  </from>
                  <to>
                    <xdr:col>2</xdr:col>
                    <xdr:colOff>2000250</xdr:colOff>
                    <xdr:row>89</xdr:row>
                    <xdr:rowOff>209550</xdr:rowOff>
                  </to>
                </anchor>
              </controlPr>
            </control>
          </mc:Choice>
        </mc:AlternateContent>
        <mc:AlternateContent xmlns:mc="http://schemas.openxmlformats.org/markup-compatibility/2006">
          <mc:Choice Requires="x14">
            <control shapeId="1227" r:id="rId108" name="Check Box 203">
              <controlPr defaultSize="0" autoFill="0" autoLine="0" autoPict="0">
                <anchor moveWithCells="1">
                  <from>
                    <xdr:col>2</xdr:col>
                    <xdr:colOff>0</xdr:colOff>
                    <xdr:row>90</xdr:row>
                    <xdr:rowOff>0</xdr:rowOff>
                  </from>
                  <to>
                    <xdr:col>2</xdr:col>
                    <xdr:colOff>1314450</xdr:colOff>
                    <xdr:row>90</xdr:row>
                    <xdr:rowOff>228600</xdr:rowOff>
                  </to>
                </anchor>
              </controlPr>
            </control>
          </mc:Choice>
        </mc:AlternateContent>
        <mc:AlternateContent xmlns:mc="http://schemas.openxmlformats.org/markup-compatibility/2006">
          <mc:Choice Requires="x14">
            <control shapeId="1228" r:id="rId109" name="Drop Down 204">
              <controlPr defaultSize="0" autoLine="0" autoPict="0">
                <anchor moveWithCells="1">
                  <from>
                    <xdr:col>2</xdr:col>
                    <xdr:colOff>676275</xdr:colOff>
                    <xdr:row>90</xdr:row>
                    <xdr:rowOff>0</xdr:rowOff>
                  </from>
                  <to>
                    <xdr:col>2</xdr:col>
                    <xdr:colOff>2000250</xdr:colOff>
                    <xdr:row>90</xdr:row>
                    <xdr:rowOff>209550</xdr:rowOff>
                  </to>
                </anchor>
              </controlPr>
            </control>
          </mc:Choice>
        </mc:AlternateContent>
        <mc:AlternateContent xmlns:mc="http://schemas.openxmlformats.org/markup-compatibility/2006">
          <mc:Choice Requires="x14">
            <control shapeId="1231" r:id="rId110" name="Check Box 207">
              <controlPr defaultSize="0" autoFill="0" autoLine="0" autoPict="0">
                <anchor moveWithCells="1">
                  <from>
                    <xdr:col>2</xdr:col>
                    <xdr:colOff>0</xdr:colOff>
                    <xdr:row>92</xdr:row>
                    <xdr:rowOff>0</xdr:rowOff>
                  </from>
                  <to>
                    <xdr:col>2</xdr:col>
                    <xdr:colOff>1314450</xdr:colOff>
                    <xdr:row>92</xdr:row>
                    <xdr:rowOff>228600</xdr:rowOff>
                  </to>
                </anchor>
              </controlPr>
            </control>
          </mc:Choice>
        </mc:AlternateContent>
        <mc:AlternateContent xmlns:mc="http://schemas.openxmlformats.org/markup-compatibility/2006">
          <mc:Choice Requires="x14">
            <control shapeId="1232" r:id="rId111" name="Drop Down 208">
              <controlPr defaultSize="0" autoLine="0" autoPict="0">
                <anchor moveWithCells="1">
                  <from>
                    <xdr:col>2</xdr:col>
                    <xdr:colOff>676275</xdr:colOff>
                    <xdr:row>92</xdr:row>
                    <xdr:rowOff>0</xdr:rowOff>
                  </from>
                  <to>
                    <xdr:col>2</xdr:col>
                    <xdr:colOff>2000250</xdr:colOff>
                    <xdr:row>92</xdr:row>
                    <xdr:rowOff>209550</xdr:rowOff>
                  </to>
                </anchor>
              </controlPr>
            </control>
          </mc:Choice>
        </mc:AlternateContent>
        <mc:AlternateContent xmlns:mc="http://schemas.openxmlformats.org/markup-compatibility/2006">
          <mc:Choice Requires="x14">
            <control shapeId="1234" r:id="rId112" name="Check Box 210">
              <controlPr defaultSize="0" autoFill="0" autoLine="0" autoPict="0">
                <anchor moveWithCells="1">
                  <from>
                    <xdr:col>2</xdr:col>
                    <xdr:colOff>0</xdr:colOff>
                    <xdr:row>102</xdr:row>
                    <xdr:rowOff>0</xdr:rowOff>
                  </from>
                  <to>
                    <xdr:col>2</xdr:col>
                    <xdr:colOff>1390650</xdr:colOff>
                    <xdr:row>102</xdr:row>
                    <xdr:rowOff>228600</xdr:rowOff>
                  </to>
                </anchor>
              </controlPr>
            </control>
          </mc:Choice>
        </mc:AlternateContent>
        <mc:AlternateContent xmlns:mc="http://schemas.openxmlformats.org/markup-compatibility/2006">
          <mc:Choice Requires="x14">
            <control shapeId="1235" r:id="rId113" name="Check Box 211">
              <controlPr defaultSize="0" autoFill="0" autoLine="0" autoPict="0">
                <anchor moveWithCells="1">
                  <from>
                    <xdr:col>2</xdr:col>
                    <xdr:colOff>0</xdr:colOff>
                    <xdr:row>103</xdr:row>
                    <xdr:rowOff>0</xdr:rowOff>
                  </from>
                  <to>
                    <xdr:col>2</xdr:col>
                    <xdr:colOff>1390650</xdr:colOff>
                    <xdr:row>103</xdr:row>
                    <xdr:rowOff>228600</xdr:rowOff>
                  </to>
                </anchor>
              </controlPr>
            </control>
          </mc:Choice>
        </mc:AlternateContent>
        <mc:AlternateContent xmlns:mc="http://schemas.openxmlformats.org/markup-compatibility/2006">
          <mc:Choice Requires="x14">
            <control shapeId="1237" r:id="rId114" name="Check Box 213">
              <controlPr defaultSize="0" autoFill="0" autoLine="0" autoPict="0">
                <anchor moveWithCells="1">
                  <from>
                    <xdr:col>2</xdr:col>
                    <xdr:colOff>742950</xdr:colOff>
                    <xdr:row>42</xdr:row>
                    <xdr:rowOff>9525</xdr:rowOff>
                  </from>
                  <to>
                    <xdr:col>3</xdr:col>
                    <xdr:colOff>38100</xdr:colOff>
                    <xdr:row>42</xdr:row>
                    <xdr:rowOff>238125</xdr:rowOff>
                  </to>
                </anchor>
              </controlPr>
            </control>
          </mc:Choice>
        </mc:AlternateContent>
        <mc:AlternateContent xmlns:mc="http://schemas.openxmlformats.org/markup-compatibility/2006">
          <mc:Choice Requires="x14">
            <control shapeId="1238" r:id="rId115" name="Check Box 214">
              <controlPr defaultSize="0" autoFill="0" autoLine="0" autoPict="0">
                <anchor moveWithCells="1">
                  <from>
                    <xdr:col>2</xdr:col>
                    <xdr:colOff>0</xdr:colOff>
                    <xdr:row>91</xdr:row>
                    <xdr:rowOff>0</xdr:rowOff>
                  </from>
                  <to>
                    <xdr:col>2</xdr:col>
                    <xdr:colOff>1628775</xdr:colOff>
                    <xdr:row>91</xdr:row>
                    <xdr:rowOff>228600</xdr:rowOff>
                  </to>
                </anchor>
              </controlPr>
            </control>
          </mc:Choice>
        </mc:AlternateContent>
        <mc:AlternateContent xmlns:mc="http://schemas.openxmlformats.org/markup-compatibility/2006">
          <mc:Choice Requires="x14">
            <control shapeId="1240" r:id="rId116" name="Check Box 216">
              <controlPr defaultSize="0" autoFill="0" autoLine="0" autoPict="0">
                <anchor moveWithCells="1">
                  <from>
                    <xdr:col>1</xdr:col>
                    <xdr:colOff>3714750</xdr:colOff>
                    <xdr:row>37</xdr:row>
                    <xdr:rowOff>0</xdr:rowOff>
                  </from>
                  <to>
                    <xdr:col>2</xdr:col>
                    <xdr:colOff>1533525</xdr:colOff>
                    <xdr:row>37</xdr:row>
                    <xdr:rowOff>228600</xdr:rowOff>
                  </to>
                </anchor>
              </controlPr>
            </control>
          </mc:Choice>
        </mc:AlternateContent>
        <mc:AlternateContent xmlns:mc="http://schemas.openxmlformats.org/markup-compatibility/2006">
          <mc:Choice Requires="x14">
            <control shapeId="1242" r:id="rId117" name="Check Box 218">
              <controlPr defaultSize="0" autoFill="0" autoLine="0" autoPict="0">
                <anchor moveWithCells="1">
                  <from>
                    <xdr:col>2</xdr:col>
                    <xdr:colOff>0</xdr:colOff>
                    <xdr:row>49</xdr:row>
                    <xdr:rowOff>0</xdr:rowOff>
                  </from>
                  <to>
                    <xdr:col>2</xdr:col>
                    <xdr:colOff>1447800</xdr:colOff>
                    <xdr:row>49</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'All Rev &amp; Projects'!$C$222:$C$224</xm:f>
          </x14:formula1>
          <xm:sqref>B99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3:U26"/>
  <sheetViews>
    <sheetView workbookViewId="0">
      <selection activeCell="B6" sqref="B6:S6"/>
    </sheetView>
  </sheetViews>
  <sheetFormatPr defaultRowHeight="15"/>
  <cols>
    <col min="4" max="4" width="10.28515625" bestFit="1" customWidth="1"/>
    <col min="12" max="12" width="16.42578125" bestFit="1" customWidth="1"/>
    <col min="13" max="13" width="15.140625" bestFit="1" customWidth="1"/>
    <col min="14" max="14" width="18.7109375" bestFit="1" customWidth="1"/>
    <col min="15" max="15" width="14.85546875" bestFit="1" customWidth="1"/>
    <col min="16" max="16" width="24.85546875" bestFit="1" customWidth="1"/>
    <col min="17" max="17" width="15.42578125" customWidth="1"/>
  </cols>
  <sheetData>
    <row r="3" spans="2:21">
      <c r="E3">
        <v>2014</v>
      </c>
      <c r="F3">
        <v>2015</v>
      </c>
      <c r="G3">
        <f>F3+1</f>
        <v>2016</v>
      </c>
      <c r="H3">
        <f t="shared" ref="H3:T3" si="0">G3+1</f>
        <v>2017</v>
      </c>
      <c r="I3">
        <f t="shared" si="0"/>
        <v>2018</v>
      </c>
      <c r="J3">
        <f t="shared" si="0"/>
        <v>2019</v>
      </c>
      <c r="K3">
        <f t="shared" si="0"/>
        <v>2020</v>
      </c>
      <c r="L3">
        <f t="shared" si="0"/>
        <v>2021</v>
      </c>
      <c r="M3">
        <f t="shared" si="0"/>
        <v>2022</v>
      </c>
      <c r="N3">
        <f t="shared" si="0"/>
        <v>2023</v>
      </c>
      <c r="O3">
        <f t="shared" si="0"/>
        <v>2024</v>
      </c>
      <c r="P3">
        <f t="shared" si="0"/>
        <v>2025</v>
      </c>
      <c r="Q3">
        <f t="shared" si="0"/>
        <v>2026</v>
      </c>
      <c r="R3">
        <f t="shared" si="0"/>
        <v>2027</v>
      </c>
      <c r="S3">
        <f>R3+1</f>
        <v>2028</v>
      </c>
      <c r="T3">
        <f t="shared" si="0"/>
        <v>2029</v>
      </c>
      <c r="U3">
        <f>T3+1</f>
        <v>2030</v>
      </c>
    </row>
    <row r="4" spans="2:21">
      <c r="C4" s="314" t="s">
        <v>678</v>
      </c>
      <c r="D4" s="11">
        <f>'All Rev &amp; Projects'!B120</f>
        <v>0.01</v>
      </c>
      <c r="E4" s="960">
        <f>SUM(Q13:Q17)/1000000</f>
        <v>61.072860106382976</v>
      </c>
      <c r="F4" s="960">
        <f>E4*(1+$F$26)</f>
        <v>62.446999458776588</v>
      </c>
      <c r="G4" s="960">
        <f>F4*(1+$F$26)</f>
        <v>63.852056946599056</v>
      </c>
      <c r="H4" s="960">
        <f t="shared" ref="H4:U4" si="1">G4*(1+$F$26)</f>
        <v>65.288728227897536</v>
      </c>
      <c r="I4" s="960">
        <f t="shared" si="1"/>
        <v>66.757724613025232</v>
      </c>
      <c r="J4" s="960">
        <f t="shared" si="1"/>
        <v>68.259773416818291</v>
      </c>
      <c r="K4" s="960">
        <f t="shared" si="1"/>
        <v>69.795618318696697</v>
      </c>
      <c r="L4" s="960">
        <f t="shared" si="1"/>
        <v>71.366019730867365</v>
      </c>
      <c r="M4" s="960">
        <f t="shared" si="1"/>
        <v>72.971755174811875</v>
      </c>
      <c r="N4" s="960">
        <f t="shared" si="1"/>
        <v>74.613619666245143</v>
      </c>
      <c r="O4" s="960">
        <f t="shared" si="1"/>
        <v>76.292426108735654</v>
      </c>
      <c r="P4" s="960">
        <f t="shared" si="1"/>
        <v>78.0090056961822</v>
      </c>
      <c r="Q4" s="960">
        <f t="shared" si="1"/>
        <v>79.764208324346299</v>
      </c>
      <c r="R4" s="960">
        <f t="shared" si="1"/>
        <v>81.558903011644091</v>
      </c>
      <c r="S4" s="960">
        <f t="shared" si="1"/>
        <v>83.393978329406082</v>
      </c>
      <c r="T4" s="960">
        <f t="shared" si="1"/>
        <v>85.270342841817723</v>
      </c>
      <c r="U4" s="960">
        <f t="shared" si="1"/>
        <v>87.188925555758615</v>
      </c>
    </row>
    <row r="10" spans="2:21">
      <c r="B10" t="s">
        <v>684</v>
      </c>
    </row>
    <row r="11" spans="2:21">
      <c r="B11" t="s">
        <v>685</v>
      </c>
      <c r="C11" t="s">
        <v>686</v>
      </c>
      <c r="D11" t="s">
        <v>687</v>
      </c>
      <c r="E11" t="s">
        <v>688</v>
      </c>
      <c r="F11" t="s">
        <v>689</v>
      </c>
    </row>
    <row r="12" spans="2:21">
      <c r="B12" s="960">
        <v>0</v>
      </c>
      <c r="C12" s="960">
        <v>25</v>
      </c>
      <c r="D12" s="960">
        <f>(C12-B12)*1000</f>
        <v>25000</v>
      </c>
      <c r="E12" s="961">
        <v>0</v>
      </c>
      <c r="F12" s="960">
        <v>0</v>
      </c>
      <c r="K12" t="s">
        <v>679</v>
      </c>
      <c r="L12" t="s">
        <v>690</v>
      </c>
      <c r="M12" t="s">
        <v>680</v>
      </c>
      <c r="N12" t="s">
        <v>682</v>
      </c>
      <c r="O12" t="s">
        <v>681</v>
      </c>
      <c r="P12" t="s">
        <v>691</v>
      </c>
      <c r="Q12" t="s">
        <v>683</v>
      </c>
    </row>
    <row r="13" spans="2:21">
      <c r="B13">
        <v>25</v>
      </c>
      <c r="C13">
        <v>49</v>
      </c>
      <c r="D13">
        <f t="shared" ref="D13:D20" si="2">(C13-B13)*1000</f>
        <v>24000</v>
      </c>
      <c r="E13" s="347">
        <v>0.02</v>
      </c>
      <c r="F13">
        <f t="shared" ref="F13:F20" si="3">D13*E13</f>
        <v>480</v>
      </c>
      <c r="K13" s="960">
        <v>37</v>
      </c>
      <c r="L13" s="960">
        <v>532558844</v>
      </c>
      <c r="M13" s="960">
        <f>L13/K13</f>
        <v>14393482.270270269</v>
      </c>
      <c r="N13" s="960">
        <f>M13-SUM($F$13:$F$20)</f>
        <v>14382652.270270269</v>
      </c>
      <c r="O13" s="960">
        <f>N13/$E$21</f>
        <v>153006939.0454284</v>
      </c>
      <c r="P13" s="960">
        <f>O13*$D$4</f>
        <v>1530069.3904542839</v>
      </c>
      <c r="Q13" s="960">
        <f>P13*K13</f>
        <v>56612567.446808502</v>
      </c>
    </row>
    <row r="14" spans="2:21">
      <c r="B14">
        <v>49</v>
      </c>
      <c r="C14">
        <v>74</v>
      </c>
      <c r="D14">
        <f t="shared" si="2"/>
        <v>25000</v>
      </c>
      <c r="E14" s="347">
        <v>0.03</v>
      </c>
      <c r="F14">
        <f t="shared" si="3"/>
        <v>750</v>
      </c>
      <c r="K14">
        <v>20</v>
      </c>
      <c r="L14">
        <v>13421784</v>
      </c>
      <c r="M14">
        <f>L14/K14</f>
        <v>671089.2</v>
      </c>
      <c r="N14">
        <f>M14-SUM($F$13:$F$20)</f>
        <v>660259.19999999995</v>
      </c>
      <c r="O14">
        <f>N14/$E$21</f>
        <v>7024034.0425531911</v>
      </c>
      <c r="P14">
        <f>O14*$D$4</f>
        <v>70240.340425531918</v>
      </c>
      <c r="Q14">
        <f>P14*K14</f>
        <v>1404806.8085106383</v>
      </c>
    </row>
    <row r="15" spans="2:21">
      <c r="B15">
        <v>74</v>
      </c>
      <c r="C15">
        <v>99</v>
      </c>
      <c r="D15">
        <f t="shared" si="2"/>
        <v>25000</v>
      </c>
      <c r="E15" s="347">
        <v>0.04</v>
      </c>
      <c r="F15">
        <f t="shared" si="3"/>
        <v>1000</v>
      </c>
      <c r="K15">
        <v>92</v>
      </c>
      <c r="L15">
        <v>21204924</v>
      </c>
      <c r="M15">
        <f>L15/K15</f>
        <v>230488.30434782608</v>
      </c>
      <c r="N15">
        <f>M15-SUM($F$13:$F$20)</f>
        <v>219658.30434782608</v>
      </c>
      <c r="O15">
        <f>N15/$E$21</f>
        <v>2336790.4717853838</v>
      </c>
      <c r="P15">
        <f>O15*$D$4</f>
        <v>23367.904717853839</v>
      </c>
      <c r="Q15">
        <f>P15*K15</f>
        <v>2149847.2340425532</v>
      </c>
    </row>
    <row r="16" spans="2:21">
      <c r="B16">
        <v>99</v>
      </c>
      <c r="C16">
        <v>124</v>
      </c>
      <c r="D16">
        <f t="shared" si="2"/>
        <v>25000</v>
      </c>
      <c r="E16" s="347">
        <v>0.05</v>
      </c>
      <c r="F16">
        <f t="shared" si="3"/>
        <v>1250</v>
      </c>
      <c r="K16">
        <v>87</v>
      </c>
      <c r="L16">
        <v>6270699</v>
      </c>
      <c r="M16">
        <f>L16/K16</f>
        <v>72077</v>
      </c>
      <c r="N16">
        <f>M16-SUM($F$13:$F$20)</f>
        <v>61247</v>
      </c>
      <c r="O16">
        <f>N16/$E$21</f>
        <v>651563.82978723408</v>
      </c>
      <c r="P16">
        <f>O16*$D$4</f>
        <v>6515.6382978723414</v>
      </c>
      <c r="Q16">
        <f>P16*K16</f>
        <v>566860.53191489365</v>
      </c>
    </row>
    <row r="17" spans="2:17">
      <c r="B17">
        <v>124</v>
      </c>
      <c r="C17">
        <v>148</v>
      </c>
      <c r="D17">
        <f t="shared" si="2"/>
        <v>24000</v>
      </c>
      <c r="E17" s="347">
        <v>0.06</v>
      </c>
      <c r="F17">
        <f t="shared" si="3"/>
        <v>1440</v>
      </c>
      <c r="K17">
        <v>236</v>
      </c>
      <c r="L17">
        <v>5740394</v>
      </c>
      <c r="M17">
        <f>L17/K17</f>
        <v>24323.703389830509</v>
      </c>
      <c r="N17">
        <f>M17-SUM($F$13:$F$20)</f>
        <v>13493.703389830509</v>
      </c>
      <c r="O17">
        <f>N17/$E$21</f>
        <v>143550.03606202669</v>
      </c>
      <c r="P17">
        <f>O17*$D$4</f>
        <v>1435.500360620267</v>
      </c>
      <c r="Q17">
        <f>P17*K17</f>
        <v>338778.08510638302</v>
      </c>
    </row>
    <row r="18" spans="2:17">
      <c r="B18">
        <v>148</v>
      </c>
      <c r="C18">
        <v>173</v>
      </c>
      <c r="D18">
        <f t="shared" si="2"/>
        <v>25000</v>
      </c>
      <c r="E18" s="347">
        <v>7.0000000000000007E-2</v>
      </c>
      <c r="F18">
        <f t="shared" si="3"/>
        <v>1750.0000000000002</v>
      </c>
    </row>
    <row r="19" spans="2:17">
      <c r="B19">
        <v>173</v>
      </c>
      <c r="C19">
        <v>198</v>
      </c>
      <c r="D19">
        <f t="shared" si="2"/>
        <v>25000</v>
      </c>
      <c r="E19" s="347">
        <v>0.08</v>
      </c>
      <c r="F19">
        <f t="shared" si="3"/>
        <v>2000</v>
      </c>
    </row>
    <row r="20" spans="2:17">
      <c r="B20">
        <v>198</v>
      </c>
      <c r="C20">
        <v>222</v>
      </c>
      <c r="D20">
        <f t="shared" si="2"/>
        <v>24000</v>
      </c>
      <c r="E20" s="347">
        <v>0.09</v>
      </c>
      <c r="F20">
        <f t="shared" si="3"/>
        <v>2160</v>
      </c>
    </row>
    <row r="21" spans="2:17">
      <c r="B21">
        <v>222</v>
      </c>
      <c r="E21" s="347">
        <v>9.4E-2</v>
      </c>
    </row>
    <row r="26" spans="2:17">
      <c r="E26" t="s">
        <v>541</v>
      </c>
      <c r="F26" s="113">
        <f>Graphs!C5</f>
        <v>2.2499999999999999E-2</v>
      </c>
    </row>
  </sheetData>
  <sheetProtection password="CC29"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U12"/>
  <sheetViews>
    <sheetView workbookViewId="0">
      <selection activeCell="B15" sqref="B15"/>
    </sheetView>
  </sheetViews>
  <sheetFormatPr defaultRowHeight="15"/>
  <cols>
    <col min="1" max="1" width="47" bestFit="1" customWidth="1"/>
    <col min="2" max="2" width="10.42578125" bestFit="1" customWidth="1"/>
    <col min="3" max="3" width="27.7109375" bestFit="1" customWidth="1"/>
    <col min="4" max="4" width="17.42578125" customWidth="1"/>
    <col min="5" max="7" width="22.28515625" bestFit="1" customWidth="1"/>
    <col min="8" max="8" width="23.28515625" bestFit="1" customWidth="1"/>
    <col min="9" max="10" width="24.28515625" bestFit="1" customWidth="1"/>
    <col min="11" max="11" width="26" bestFit="1" customWidth="1"/>
    <col min="12" max="12" width="19.42578125" bestFit="1" customWidth="1"/>
    <col min="13" max="13" width="14.28515625" bestFit="1" customWidth="1"/>
    <col min="14" max="14" width="19.140625" customWidth="1"/>
    <col min="15" max="15" width="15.7109375" bestFit="1" customWidth="1"/>
    <col min="16" max="21" width="11.28515625" bestFit="1" customWidth="1"/>
  </cols>
  <sheetData>
    <row r="1" spans="1:21" ht="15.75">
      <c r="N1" s="969"/>
    </row>
    <row r="2" spans="1:21" ht="45">
      <c r="B2" t="s">
        <v>783</v>
      </c>
      <c r="C2" s="338" t="s">
        <v>784</v>
      </c>
      <c r="D2" s="338" t="s">
        <v>785</v>
      </c>
      <c r="E2" s="338" t="s">
        <v>786</v>
      </c>
      <c r="F2" s="338" t="s">
        <v>787</v>
      </c>
      <c r="G2" s="338" t="s">
        <v>788</v>
      </c>
      <c r="H2" s="338" t="s">
        <v>789</v>
      </c>
      <c r="I2" s="338" t="s">
        <v>790</v>
      </c>
      <c r="J2" s="338" t="s">
        <v>791</v>
      </c>
      <c r="K2" s="338" t="s">
        <v>792</v>
      </c>
      <c r="L2" s="338" t="s">
        <v>793</v>
      </c>
      <c r="N2" s="969" t="s">
        <v>781</v>
      </c>
    </row>
    <row r="3" spans="1:21" ht="15.75">
      <c r="A3" s="971" t="s">
        <v>782</v>
      </c>
      <c r="B3" s="966">
        <v>49290</v>
      </c>
      <c r="C3" s="966">
        <v>1150</v>
      </c>
      <c r="D3" s="966">
        <v>3490</v>
      </c>
      <c r="E3" s="966">
        <v>3890</v>
      </c>
      <c r="F3" s="966">
        <v>6650</v>
      </c>
      <c r="G3" s="966">
        <v>7020</v>
      </c>
      <c r="H3" s="966">
        <v>6470</v>
      </c>
      <c r="I3" s="966">
        <v>13540</v>
      </c>
      <c r="J3" s="966">
        <v>5450</v>
      </c>
      <c r="K3" s="966">
        <v>1020</v>
      </c>
      <c r="L3" s="967">
        <v>610</v>
      </c>
      <c r="M3" s="968"/>
    </row>
    <row r="4" spans="1:21" ht="15.75">
      <c r="A4" s="970" t="s">
        <v>780</v>
      </c>
      <c r="B4" s="966">
        <v>785466</v>
      </c>
      <c r="C4" s="966">
        <v>3395</v>
      </c>
      <c r="D4" s="966">
        <v>107</v>
      </c>
      <c r="E4" s="966">
        <v>6828</v>
      </c>
      <c r="F4" s="966">
        <v>12177</v>
      </c>
      <c r="G4" s="966">
        <v>17991</v>
      </c>
      <c r="H4" s="966">
        <v>22846</v>
      </c>
      <c r="I4" s="966">
        <v>85518</v>
      </c>
      <c r="J4" s="966">
        <v>138468</v>
      </c>
      <c r="K4" s="966">
        <v>82143</v>
      </c>
      <c r="L4" s="967">
        <v>415994</v>
      </c>
      <c r="M4" s="968">
        <f>B4*1000*(1.0225^3)</f>
        <v>839686828.43615603</v>
      </c>
    </row>
    <row r="5" spans="1:21" ht="15.75">
      <c r="A5" s="965"/>
      <c r="B5" s="966"/>
      <c r="C5" s="966"/>
      <c r="D5" s="966"/>
      <c r="E5" s="966"/>
      <c r="F5" s="966"/>
      <c r="G5" s="966"/>
      <c r="H5" s="966"/>
      <c r="I5" s="966"/>
      <c r="J5" s="966"/>
      <c r="K5" s="966"/>
      <c r="L5" s="967"/>
      <c r="M5" s="968"/>
      <c r="N5" s="969"/>
    </row>
    <row r="10" spans="1:21">
      <c r="B10" s="973"/>
      <c r="C10" s="973">
        <v>2012</v>
      </c>
      <c r="D10" s="973">
        <v>2013</v>
      </c>
      <c r="E10" s="973">
        <v>2014</v>
      </c>
      <c r="F10" s="973">
        <v>2015</v>
      </c>
      <c r="G10" s="973">
        <v>2016</v>
      </c>
      <c r="H10" s="973">
        <v>2017</v>
      </c>
      <c r="I10" s="973">
        <v>2018</v>
      </c>
      <c r="J10" s="973">
        <v>2019</v>
      </c>
      <c r="K10" s="973">
        <v>2020</v>
      </c>
      <c r="L10" s="973">
        <v>2021</v>
      </c>
      <c r="M10" s="973">
        <v>2022</v>
      </c>
      <c r="N10" s="973">
        <v>2023</v>
      </c>
      <c r="O10" s="973">
        <v>2024</v>
      </c>
      <c r="P10" s="973">
        <v>2025</v>
      </c>
      <c r="Q10" s="973">
        <v>2026</v>
      </c>
      <c r="R10" s="973">
        <v>2027</v>
      </c>
      <c r="S10" s="973">
        <v>2028</v>
      </c>
      <c r="T10" s="973">
        <v>2029</v>
      </c>
      <c r="U10" s="973">
        <v>2030</v>
      </c>
    </row>
    <row r="11" spans="1:21">
      <c r="B11" s="974">
        <f>'All Rev &amp; Projects'!B117</f>
        <v>0.05</v>
      </c>
      <c r="C11" s="975">
        <f>M4*B11*(Graphs!C5+1)</f>
        <v>42928989.103798479</v>
      </c>
      <c r="D11" s="975">
        <f>C11*(Graphs!$C$5+1)</f>
        <v>43894891.358633943</v>
      </c>
      <c r="E11" s="975">
        <f>D11*(Graphs!$C$5+1)</f>
        <v>44882526.414203204</v>
      </c>
      <c r="F11" s="975">
        <f>E11*(Graphs!$C$5+1)</f>
        <v>45892383.258522771</v>
      </c>
      <c r="G11" s="975">
        <f>F11*(Graphs!$C$5+1)</f>
        <v>46924961.881839529</v>
      </c>
      <c r="H11" s="975">
        <f>G11*(Graphs!$C$5+1)</f>
        <v>47980773.524180919</v>
      </c>
      <c r="I11" s="975">
        <f>H11*(Graphs!$C$5+1)</f>
        <v>49060340.928474985</v>
      </c>
      <c r="J11" s="975">
        <f>I11*(Graphs!$C$5+1)</f>
        <v>50164198.599365674</v>
      </c>
      <c r="K11" s="975">
        <f>J11*(Graphs!$C$5+1)</f>
        <v>51292893.067851402</v>
      </c>
      <c r="L11" s="975">
        <f>K11*(Graphs!$C$5+1)</f>
        <v>52446983.161878057</v>
      </c>
      <c r="M11" s="975">
        <f>L11*(Graphs!$C$5+1)</f>
        <v>53627040.28302031</v>
      </c>
      <c r="N11" s="975">
        <f>M11*(Graphs!$C$5+1)</f>
        <v>54833648.689388268</v>
      </c>
      <c r="O11" s="975">
        <f>N11*(Graphs!$C$5+1)</f>
        <v>56067405.784899503</v>
      </c>
      <c r="P11" s="975">
        <f>O11*(Graphs!$C$5+1)</f>
        <v>57328922.415059738</v>
      </c>
      <c r="Q11" s="975">
        <f>P11*(Graphs!$C$5+1)</f>
        <v>58618823.169398583</v>
      </c>
      <c r="R11" s="975">
        <f>Q11*(Graphs!$C$5+1)</f>
        <v>59937746.690710053</v>
      </c>
      <c r="S11" s="975">
        <f>R11*(Graphs!$C$5+1)</f>
        <v>61286345.991251029</v>
      </c>
      <c r="T11" s="975">
        <f>S11*(Graphs!$C$5+1)</f>
        <v>62665288.776054174</v>
      </c>
      <c r="U11" s="975">
        <f>T11*(Graphs!$C$5+1)</f>
        <v>64075257.773515388</v>
      </c>
    </row>
    <row r="12" spans="1:21">
      <c r="C12">
        <f>C11/1000000</f>
        <v>42.928989103798479</v>
      </c>
      <c r="D12">
        <f t="shared" ref="D12:U12" si="0">D11/1000000</f>
        <v>43.894891358633942</v>
      </c>
      <c r="E12">
        <f t="shared" si="0"/>
        <v>44.882526414203205</v>
      </c>
      <c r="F12">
        <f t="shared" si="0"/>
        <v>45.89238325852277</v>
      </c>
      <c r="G12">
        <f t="shared" si="0"/>
        <v>46.924961881839529</v>
      </c>
      <c r="H12">
        <f t="shared" si="0"/>
        <v>47.980773524180918</v>
      </c>
      <c r="I12">
        <f t="shared" si="0"/>
        <v>49.060340928474986</v>
      </c>
      <c r="J12">
        <f t="shared" si="0"/>
        <v>50.164198599365676</v>
      </c>
      <c r="K12">
        <f t="shared" si="0"/>
        <v>51.292893067851402</v>
      </c>
      <c r="L12">
        <f t="shared" si="0"/>
        <v>52.446983161878059</v>
      </c>
      <c r="M12">
        <f t="shared" si="0"/>
        <v>53.627040283020307</v>
      </c>
      <c r="N12">
        <f t="shared" si="0"/>
        <v>54.833648689388269</v>
      </c>
      <c r="O12">
        <f t="shared" si="0"/>
        <v>56.067405784899506</v>
      </c>
      <c r="P12">
        <f t="shared" si="0"/>
        <v>57.328922415059736</v>
      </c>
      <c r="Q12">
        <f t="shared" si="0"/>
        <v>58.618823169398581</v>
      </c>
      <c r="R12">
        <f t="shared" si="0"/>
        <v>59.93774669071005</v>
      </c>
      <c r="S12">
        <f t="shared" si="0"/>
        <v>61.286345991251032</v>
      </c>
      <c r="T12">
        <f t="shared" si="0"/>
        <v>62.665288776054176</v>
      </c>
      <c r="U12">
        <f t="shared" si="0"/>
        <v>64.075257773515389</v>
      </c>
    </row>
  </sheetData>
  <sheetProtection password="CC29"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X49"/>
  <sheetViews>
    <sheetView topLeftCell="I1" workbookViewId="0">
      <selection activeCell="J5" sqref="J5"/>
    </sheetView>
  </sheetViews>
  <sheetFormatPr defaultColWidth="9.140625" defaultRowHeight="15"/>
  <cols>
    <col min="1" max="1" width="17.28515625" style="985" hidden="1" customWidth="1"/>
    <col min="2" max="2" width="14.7109375" style="985" hidden="1" customWidth="1"/>
    <col min="3" max="3" width="12.5703125" style="985" hidden="1" customWidth="1"/>
    <col min="4" max="4" width="12.140625" style="985" hidden="1" customWidth="1"/>
    <col min="5" max="5" width="12.7109375" style="985" hidden="1" customWidth="1"/>
    <col min="6" max="6" width="14.28515625" style="985" hidden="1" customWidth="1"/>
    <col min="7" max="7" width="13.7109375" style="985" hidden="1" customWidth="1"/>
    <col min="8" max="8" width="32" style="985" hidden="1" customWidth="1"/>
    <col min="9" max="9" width="32" style="985" customWidth="1"/>
    <col min="10" max="24" width="9" style="985" customWidth="1"/>
    <col min="25" max="16384" width="9.140625" style="985"/>
  </cols>
  <sheetData>
    <row r="1" spans="1:24">
      <c r="I1" s="985" t="s">
        <v>61</v>
      </c>
    </row>
    <row r="2" spans="1:24">
      <c r="I2" s="985" t="s">
        <v>62</v>
      </c>
    </row>
    <row r="3" spans="1:24">
      <c r="J3" s="986">
        <v>2016</v>
      </c>
      <c r="K3" s="986">
        <v>2017</v>
      </c>
      <c r="L3" s="986">
        <v>2018</v>
      </c>
      <c r="M3" s="986">
        <v>2019</v>
      </c>
      <c r="N3" s="986">
        <v>2020</v>
      </c>
      <c r="O3" s="986">
        <v>2021</v>
      </c>
      <c r="P3" s="986">
        <v>2022</v>
      </c>
      <c r="Q3" s="986">
        <v>2023</v>
      </c>
      <c r="R3" s="986">
        <v>2024</v>
      </c>
      <c r="S3" s="986">
        <v>2025</v>
      </c>
      <c r="T3" s="986">
        <v>2026</v>
      </c>
      <c r="U3" s="986">
        <v>2027</v>
      </c>
      <c r="V3" s="986">
        <v>2028</v>
      </c>
      <c r="W3" s="986">
        <v>2029</v>
      </c>
      <c r="X3" s="986">
        <v>2030</v>
      </c>
    </row>
    <row r="4" spans="1:24">
      <c r="I4" s="987" t="s">
        <v>63</v>
      </c>
      <c r="J4" s="985">
        <v>0</v>
      </c>
      <c r="K4" s="985">
        <v>0</v>
      </c>
      <c r="L4" s="988">
        <f>J6</f>
        <v>15</v>
      </c>
      <c r="M4" s="988">
        <f>L4*(1+$J$7)</f>
        <v>15.600000000000001</v>
      </c>
      <c r="N4" s="988">
        <f t="shared" ref="N4:X4" si="0">M4*(1+$J$7)</f>
        <v>16.224000000000004</v>
      </c>
      <c r="O4" s="988">
        <f t="shared" si="0"/>
        <v>16.872960000000006</v>
      </c>
      <c r="P4" s="988">
        <f t="shared" si="0"/>
        <v>17.547878400000005</v>
      </c>
      <c r="Q4" s="988">
        <f t="shared" si="0"/>
        <v>18.249793536000006</v>
      </c>
      <c r="R4" s="988">
        <f t="shared" si="0"/>
        <v>18.979785277440005</v>
      </c>
      <c r="S4" s="988">
        <f t="shared" si="0"/>
        <v>19.738976688537605</v>
      </c>
      <c r="T4" s="988">
        <f t="shared" si="0"/>
        <v>20.528535756079108</v>
      </c>
      <c r="U4" s="988">
        <f t="shared" si="0"/>
        <v>21.349677186322275</v>
      </c>
      <c r="V4" s="988">
        <f t="shared" si="0"/>
        <v>22.203664273775168</v>
      </c>
      <c r="W4" s="988">
        <f t="shared" si="0"/>
        <v>23.091810844726176</v>
      </c>
      <c r="X4" s="988">
        <f t="shared" si="0"/>
        <v>24.015483278515223</v>
      </c>
    </row>
    <row r="6" spans="1:24">
      <c r="I6" s="985" t="s">
        <v>64</v>
      </c>
      <c r="J6" s="985">
        <v>15</v>
      </c>
    </row>
    <row r="7" spans="1:24">
      <c r="A7" s="985" t="s">
        <v>65</v>
      </c>
      <c r="I7" s="985" t="s">
        <v>66</v>
      </c>
      <c r="J7" s="989">
        <v>0.04</v>
      </c>
      <c r="M7" s="990"/>
      <c r="N7" s="990"/>
      <c r="O7" s="990"/>
      <c r="P7" s="990"/>
      <c r="Q7" s="990"/>
      <c r="R7" s="990"/>
      <c r="S7" s="990"/>
      <c r="T7" s="990"/>
      <c r="U7" s="990"/>
    </row>
    <row r="8" spans="1:24" ht="30">
      <c r="A8" s="991" t="s">
        <v>67</v>
      </c>
      <c r="B8" s="992" t="s">
        <v>68</v>
      </c>
      <c r="C8" s="992" t="s">
        <v>69</v>
      </c>
      <c r="D8" s="992" t="s">
        <v>70</v>
      </c>
      <c r="E8" s="992" t="s">
        <v>71</v>
      </c>
      <c r="F8" s="992" t="s">
        <v>72</v>
      </c>
      <c r="G8" s="992" t="s">
        <v>73</v>
      </c>
      <c r="H8" s="993"/>
      <c r="I8" s="993"/>
      <c r="J8" s="994" t="s">
        <v>74</v>
      </c>
      <c r="K8" s="994"/>
      <c r="L8" s="994"/>
      <c r="M8" s="993"/>
      <c r="N8" s="995"/>
      <c r="O8" s="995"/>
      <c r="P8" s="995"/>
      <c r="Q8" s="995"/>
      <c r="R8" s="995"/>
      <c r="S8" s="995"/>
      <c r="T8" s="993"/>
      <c r="U8" s="993"/>
    </row>
    <row r="9" spans="1:24">
      <c r="A9" s="996" t="s">
        <v>75</v>
      </c>
      <c r="B9" s="997">
        <v>15000</v>
      </c>
      <c r="C9" s="998" t="s">
        <v>76</v>
      </c>
      <c r="D9" s="998" t="s">
        <v>76</v>
      </c>
      <c r="E9" s="998" t="s">
        <v>76</v>
      </c>
      <c r="F9" s="999">
        <v>583223</v>
      </c>
      <c r="G9" s="1000" t="s">
        <v>76</v>
      </c>
      <c r="H9" s="1001"/>
      <c r="I9" s="1001"/>
      <c r="J9" s="993" t="s">
        <v>77</v>
      </c>
      <c r="K9" s="994"/>
      <c r="L9" s="994"/>
      <c r="M9" s="993"/>
      <c r="N9" s="1002"/>
      <c r="O9" s="1003"/>
      <c r="P9" s="1003"/>
      <c r="Q9" s="1003"/>
      <c r="R9" s="1003"/>
      <c r="S9" s="1004"/>
      <c r="T9" s="993"/>
      <c r="U9" s="993"/>
    </row>
    <row r="10" spans="1:24">
      <c r="A10" s="996" t="s">
        <v>78</v>
      </c>
      <c r="B10" s="997">
        <v>96067</v>
      </c>
      <c r="C10" s="997">
        <v>64556</v>
      </c>
      <c r="D10" s="997">
        <v>8619</v>
      </c>
      <c r="E10" s="997">
        <v>22892</v>
      </c>
      <c r="F10" s="999">
        <v>626855</v>
      </c>
      <c r="G10" s="1005">
        <f t="shared" ref="G10:G18" si="1">(E10*1000)/F10</f>
        <v>36.518812165492818</v>
      </c>
      <c r="H10" s="1001"/>
      <c r="I10" s="1001"/>
      <c r="J10" s="993" t="s">
        <v>79</v>
      </c>
      <c r="K10" s="994"/>
      <c r="L10" s="994"/>
      <c r="M10" s="993"/>
      <c r="N10" s="1002"/>
      <c r="O10" s="1006"/>
      <c r="P10" s="1007"/>
      <c r="Q10" s="1007"/>
      <c r="R10" s="1007"/>
      <c r="S10" s="1004"/>
      <c r="T10" s="993"/>
      <c r="U10" s="993"/>
    </row>
    <row r="11" spans="1:24">
      <c r="A11" s="996" t="s">
        <v>80</v>
      </c>
      <c r="B11" s="997">
        <v>26603</v>
      </c>
      <c r="C11" s="997">
        <v>14217</v>
      </c>
      <c r="D11" s="997">
        <v>4101</v>
      </c>
      <c r="E11" s="997">
        <v>8285</v>
      </c>
      <c r="F11" s="999">
        <v>723857</v>
      </c>
      <c r="G11" s="1008">
        <f t="shared" si="1"/>
        <v>11.445630835924776</v>
      </c>
      <c r="H11" s="1001"/>
      <c r="I11" s="1001"/>
      <c r="J11" s="993" t="s">
        <v>81</v>
      </c>
      <c r="K11" s="994"/>
      <c r="L11" s="994"/>
      <c r="M11" s="993"/>
      <c r="N11" s="1002"/>
      <c r="O11" s="1007"/>
      <c r="P11" s="1007"/>
      <c r="Q11" s="1007"/>
      <c r="R11" s="1007"/>
      <c r="S11" s="1004"/>
      <c r="T11" s="993"/>
      <c r="U11" s="993"/>
    </row>
    <row r="12" spans="1:24">
      <c r="A12" s="991" t="s">
        <v>82</v>
      </c>
      <c r="B12" s="997">
        <v>146536</v>
      </c>
      <c r="C12" s="997">
        <v>32418</v>
      </c>
      <c r="D12" s="997">
        <v>7767</v>
      </c>
      <c r="E12" s="997">
        <v>106351</v>
      </c>
      <c r="F12" s="999">
        <v>845510</v>
      </c>
      <c r="G12" s="1008">
        <f t="shared" si="1"/>
        <v>125.78325507681754</v>
      </c>
      <c r="H12" s="993"/>
      <c r="I12" s="993"/>
      <c r="J12" s="993" t="s">
        <v>83</v>
      </c>
      <c r="K12" s="994"/>
      <c r="L12" s="994"/>
      <c r="M12" s="993"/>
      <c r="N12" s="1002"/>
      <c r="O12" s="1003"/>
      <c r="P12" s="1003"/>
      <c r="Q12" s="1003"/>
      <c r="R12" s="1003"/>
      <c r="S12" s="1004"/>
      <c r="T12" s="993"/>
      <c r="U12" s="993"/>
    </row>
    <row r="13" spans="1:24">
      <c r="A13" s="991" t="s">
        <v>84</v>
      </c>
      <c r="B13" s="997">
        <v>452962</v>
      </c>
      <c r="C13" s="997">
        <v>99264</v>
      </c>
      <c r="D13" s="997">
        <v>44509</v>
      </c>
      <c r="E13" s="997">
        <v>309189</v>
      </c>
      <c r="F13" s="999">
        <v>925240</v>
      </c>
      <c r="G13" s="1008">
        <f t="shared" si="1"/>
        <v>334.17167437637801</v>
      </c>
      <c r="H13" s="993"/>
      <c r="I13" s="993"/>
      <c r="J13" s="993" t="s">
        <v>85</v>
      </c>
      <c r="K13" s="994"/>
      <c r="L13" s="994"/>
      <c r="M13" s="993"/>
      <c r="N13" s="1002"/>
      <c r="O13" s="1003"/>
      <c r="P13" s="1003"/>
      <c r="Q13" s="1003"/>
      <c r="R13" s="1003"/>
      <c r="S13" s="1004"/>
      <c r="T13" s="993"/>
      <c r="U13" s="993"/>
    </row>
    <row r="14" spans="1:24">
      <c r="A14" s="991" t="s">
        <v>86</v>
      </c>
      <c r="B14" s="997">
        <v>60188</v>
      </c>
      <c r="C14" s="997">
        <v>32176</v>
      </c>
      <c r="D14" s="997">
        <v>7991</v>
      </c>
      <c r="E14" s="997">
        <v>20021</v>
      </c>
      <c r="F14" s="999">
        <v>1014864</v>
      </c>
      <c r="G14" s="1008">
        <f t="shared" si="1"/>
        <v>19.727766479055322</v>
      </c>
      <c r="H14" s="993"/>
      <c r="I14" s="993"/>
      <c r="J14" s="994"/>
      <c r="K14" s="994"/>
      <c r="L14" s="994"/>
      <c r="M14" s="993"/>
      <c r="N14" s="1002"/>
      <c r="O14" s="1003"/>
      <c r="P14" s="1003"/>
      <c r="Q14" s="1003"/>
      <c r="R14" s="1003"/>
      <c r="S14" s="1004"/>
      <c r="T14" s="993"/>
      <c r="U14" s="993"/>
    </row>
    <row r="15" spans="1:24" ht="66.75" customHeight="1">
      <c r="A15" s="991" t="s">
        <v>87</v>
      </c>
      <c r="B15" s="997">
        <v>539026</v>
      </c>
      <c r="C15" s="997">
        <v>153206</v>
      </c>
      <c r="D15" s="997">
        <v>6204</v>
      </c>
      <c r="E15" s="997">
        <v>379616</v>
      </c>
      <c r="F15" s="999">
        <v>1053354</v>
      </c>
      <c r="G15" s="1008">
        <f t="shared" si="1"/>
        <v>360.38786580769619</v>
      </c>
      <c r="H15" s="993"/>
      <c r="I15" s="993"/>
      <c r="J15" s="1231" t="s">
        <v>452</v>
      </c>
      <c r="K15" s="1231"/>
      <c r="L15" s="1231"/>
      <c r="M15" s="1231"/>
      <c r="N15" s="1231"/>
      <c r="O15" s="1231"/>
      <c r="P15" s="1231"/>
      <c r="Q15" s="1231"/>
      <c r="R15" s="1231"/>
      <c r="S15" s="1231"/>
      <c r="T15" s="1231"/>
      <c r="U15" s="1231"/>
      <c r="V15" s="1231"/>
      <c r="W15" s="1231"/>
      <c r="X15" s="1231"/>
    </row>
    <row r="16" spans="1:24">
      <c r="A16" s="991" t="s">
        <v>88</v>
      </c>
      <c r="B16" s="997">
        <v>263794</v>
      </c>
      <c r="C16" s="997">
        <v>173357</v>
      </c>
      <c r="D16" s="997">
        <v>15961</v>
      </c>
      <c r="E16" s="997">
        <v>74476</v>
      </c>
      <c r="F16" s="999">
        <v>1322616</v>
      </c>
      <c r="G16" s="1008">
        <f t="shared" si="1"/>
        <v>56.309616699026776</v>
      </c>
      <c r="H16" s="993"/>
      <c r="I16" s="993"/>
      <c r="J16" s="994"/>
      <c r="K16" s="994"/>
      <c r="L16" s="994"/>
      <c r="M16" s="1006"/>
      <c r="N16" s="1002"/>
      <c r="O16" s="1003"/>
      <c r="P16" s="1003"/>
      <c r="Q16" s="1003"/>
      <c r="R16" s="1003"/>
      <c r="S16" s="1004"/>
      <c r="T16" s="993"/>
      <c r="U16" s="993"/>
    </row>
    <row r="17" spans="1:21">
      <c r="A17" s="991" t="s">
        <v>89</v>
      </c>
      <c r="B17" s="997">
        <v>212886</v>
      </c>
      <c r="C17" s="997">
        <v>143938</v>
      </c>
      <c r="D17" s="997">
        <v>14880</v>
      </c>
      <c r="E17" s="997">
        <v>54068</v>
      </c>
      <c r="F17" s="999">
        <v>1328702</v>
      </c>
      <c r="G17" s="1008">
        <f t="shared" si="1"/>
        <v>40.692344859870758</v>
      </c>
      <c r="H17" s="993"/>
      <c r="I17" s="993"/>
      <c r="J17" s="994"/>
      <c r="K17" s="994"/>
      <c r="L17" s="994"/>
      <c r="M17" s="993"/>
      <c r="N17" s="1002"/>
      <c r="O17" s="1003"/>
      <c r="P17" s="1003"/>
      <c r="Q17" s="1003"/>
      <c r="R17" s="1003"/>
      <c r="S17" s="1004"/>
      <c r="T17" s="993"/>
      <c r="U17" s="993"/>
    </row>
    <row r="18" spans="1:21">
      <c r="A18" s="991" t="s">
        <v>90</v>
      </c>
      <c r="B18" s="997">
        <v>182232</v>
      </c>
      <c r="C18" s="997">
        <v>122888</v>
      </c>
      <c r="D18" s="997">
        <v>11167</v>
      </c>
      <c r="E18" s="997">
        <v>48177</v>
      </c>
      <c r="F18" s="999">
        <v>1612843</v>
      </c>
      <c r="G18" s="1008">
        <f t="shared" si="1"/>
        <v>29.870855377739804</v>
      </c>
      <c r="H18" s="993"/>
      <c r="I18" s="993"/>
      <c r="J18" s="994"/>
      <c r="K18" s="994"/>
      <c r="L18" s="994"/>
      <c r="M18" s="993"/>
      <c r="N18" s="993"/>
      <c r="O18" s="993"/>
      <c r="P18" s="993"/>
      <c r="Q18" s="993"/>
      <c r="R18" s="993"/>
      <c r="S18" s="993"/>
      <c r="T18" s="993"/>
      <c r="U18" s="993"/>
    </row>
    <row r="19" spans="1:21">
      <c r="A19" s="994"/>
      <c r="B19" s="994"/>
      <c r="C19" s="994"/>
      <c r="D19" s="994"/>
      <c r="E19" s="994"/>
      <c r="F19" s="994"/>
      <c r="G19" s="994"/>
      <c r="H19" s="994"/>
      <c r="I19" s="994"/>
      <c r="J19" s="994"/>
      <c r="K19" s="994"/>
      <c r="L19" s="994"/>
      <c r="M19" s="993"/>
      <c r="N19" s="993"/>
      <c r="O19" s="993"/>
      <c r="P19" s="993"/>
      <c r="Q19" s="993"/>
      <c r="R19" s="993"/>
      <c r="S19" s="993"/>
      <c r="T19" s="993"/>
      <c r="U19" s="993"/>
    </row>
    <row r="20" spans="1:21">
      <c r="A20" s="994" t="s">
        <v>91</v>
      </c>
      <c r="B20" s="997">
        <v>62383863</v>
      </c>
      <c r="C20" s="997">
        <v>38792861</v>
      </c>
      <c r="D20" s="997">
        <v>3208968</v>
      </c>
      <c r="E20" s="997">
        <v>20382034</v>
      </c>
      <c r="F20" s="999">
        <v>316497531</v>
      </c>
      <c r="G20" s="1008">
        <f>(E20*1000)/F20</f>
        <v>64.398714061374463</v>
      </c>
      <c r="H20" s="994"/>
      <c r="I20" s="994"/>
      <c r="J20" s="994"/>
      <c r="K20" s="994"/>
      <c r="L20" s="994"/>
      <c r="M20" s="994"/>
      <c r="N20" s="994"/>
      <c r="O20" s="994"/>
      <c r="P20" s="994"/>
      <c r="Q20" s="994"/>
      <c r="R20" s="994"/>
      <c r="S20" s="994"/>
      <c r="T20" s="994"/>
      <c r="U20" s="994"/>
    </row>
    <row r="21" spans="1:21">
      <c r="A21" s="994"/>
      <c r="B21" s="1009"/>
      <c r="C21" s="1010">
        <f>C20/B20</f>
        <v>0.62184127648523468</v>
      </c>
      <c r="D21" s="1010">
        <f>D20/B20</f>
        <v>5.143907167146735E-2</v>
      </c>
      <c r="E21" s="1010">
        <f>E20/B20</f>
        <v>0.32671965184329799</v>
      </c>
      <c r="F21" s="1011"/>
      <c r="G21" s="1012"/>
      <c r="H21" s="994"/>
      <c r="I21" s="994"/>
      <c r="J21" s="994"/>
      <c r="K21" s="994"/>
      <c r="L21" s="994"/>
      <c r="M21" s="994"/>
      <c r="N21" s="994"/>
      <c r="O21" s="994"/>
      <c r="P21" s="994"/>
      <c r="Q21" s="994"/>
      <c r="R21" s="994"/>
      <c r="S21" s="994"/>
      <c r="T21" s="994"/>
      <c r="U21" s="994"/>
    </row>
    <row r="22" spans="1:21">
      <c r="A22" s="994"/>
      <c r="B22" s="994"/>
      <c r="C22" s="994"/>
      <c r="D22" s="994"/>
      <c r="E22" s="994"/>
      <c r="F22" s="994"/>
      <c r="G22" s="994"/>
      <c r="H22" s="994"/>
      <c r="I22" s="994"/>
      <c r="J22" s="994"/>
      <c r="K22" s="994"/>
      <c r="L22" s="994"/>
      <c r="M22" s="994"/>
      <c r="N22" s="994"/>
      <c r="O22" s="994"/>
      <c r="P22" s="994"/>
      <c r="Q22" s="994"/>
      <c r="R22" s="994"/>
      <c r="S22" s="994"/>
      <c r="T22" s="994"/>
      <c r="U22" s="994"/>
    </row>
    <row r="23" spans="1:21">
      <c r="A23" s="994" t="s">
        <v>92</v>
      </c>
      <c r="B23" s="1013">
        <f>E23/E21</f>
        <v>25837.489426711269</v>
      </c>
      <c r="C23" s="1013">
        <f>B23*C21</f>
        <v>16066.81740627989</v>
      </c>
      <c r="D23" s="1013">
        <f>B23*D21</f>
        <v>1329.0564704313808</v>
      </c>
      <c r="E23" s="1013">
        <f>(F23*G23)/1000</f>
        <v>8441.6155499999986</v>
      </c>
      <c r="F23" s="999">
        <v>737259</v>
      </c>
      <c r="G23" s="1014">
        <v>11.45</v>
      </c>
      <c r="H23" s="991" t="s">
        <v>93</v>
      </c>
      <c r="I23" s="993"/>
      <c r="J23" s="994"/>
      <c r="K23" s="994"/>
      <c r="L23" s="994"/>
      <c r="M23" s="994"/>
      <c r="N23" s="994"/>
      <c r="O23" s="994"/>
      <c r="P23" s="994"/>
      <c r="Q23" s="994"/>
      <c r="R23" s="994"/>
      <c r="S23" s="994"/>
      <c r="T23" s="994"/>
      <c r="U23" s="994"/>
    </row>
    <row r="24" spans="1:21">
      <c r="A24" s="994"/>
      <c r="B24" s="1013"/>
      <c r="C24" s="1013"/>
      <c r="D24" s="1013"/>
      <c r="E24" s="1013"/>
      <c r="F24" s="999"/>
      <c r="G24" s="1014"/>
      <c r="H24" s="991"/>
      <c r="I24" s="993"/>
      <c r="J24" s="994"/>
      <c r="K24" s="994"/>
      <c r="L24" s="994"/>
      <c r="M24" s="994"/>
      <c r="N24" s="994"/>
      <c r="O24" s="994"/>
      <c r="P24" s="994"/>
      <c r="Q24" s="994"/>
      <c r="R24" s="994"/>
      <c r="S24" s="994"/>
      <c r="T24" s="994"/>
      <c r="U24" s="994"/>
    </row>
    <row r="25" spans="1:21">
      <c r="A25" s="994" t="s">
        <v>92</v>
      </c>
      <c r="B25" s="1013">
        <f>E25/E21</f>
        <v>145321.77459215772</v>
      </c>
      <c r="C25" s="1013">
        <f>B25*C21</f>
        <v>90367.077813486903</v>
      </c>
      <c r="D25" s="1013">
        <f>B25*D21</f>
        <v>7475.2171786708241</v>
      </c>
      <c r="E25" s="1013">
        <f>(F25*G25)/1000</f>
        <v>47479.479599999999</v>
      </c>
      <c r="F25" s="999">
        <v>737259</v>
      </c>
      <c r="G25" s="1014">
        <v>64.400000000000006</v>
      </c>
      <c r="H25" s="991" t="s">
        <v>94</v>
      </c>
      <c r="I25" s="993"/>
      <c r="J25" s="994"/>
      <c r="K25" s="994"/>
      <c r="L25" s="994"/>
      <c r="M25" s="994"/>
      <c r="N25" s="994"/>
      <c r="O25" s="994"/>
      <c r="P25" s="994"/>
      <c r="Q25" s="994"/>
      <c r="R25" s="994"/>
      <c r="S25" s="994"/>
      <c r="T25" s="994"/>
      <c r="U25" s="994"/>
    </row>
    <row r="26" spans="1:21">
      <c r="A26" s="985" t="s">
        <v>92</v>
      </c>
      <c r="B26" s="1015">
        <f>E26/E21</f>
        <v>49914.870403393303</v>
      </c>
      <c r="C26" s="1016">
        <f>B26*C21</f>
        <v>31039.126727241153</v>
      </c>
      <c r="D26" s="1016">
        <f>B26*D21</f>
        <v>2567.5745961521525</v>
      </c>
      <c r="E26" s="1017">
        <f>(F26*G26)/1000</f>
        <v>16308.16908</v>
      </c>
      <c r="F26" s="1018">
        <v>737259</v>
      </c>
      <c r="G26" s="1019">
        <v>22.12</v>
      </c>
      <c r="H26" s="1020" t="s">
        <v>95</v>
      </c>
      <c r="I26" s="990"/>
    </row>
    <row r="27" spans="1:21">
      <c r="A27" s="985" t="s">
        <v>96</v>
      </c>
    </row>
    <row r="29" spans="1:21">
      <c r="A29" s="986" t="s">
        <v>97</v>
      </c>
      <c r="B29" s="986"/>
    </row>
    <row r="30" spans="1:21">
      <c r="A30" s="985" t="s">
        <v>98</v>
      </c>
      <c r="B30" s="1021">
        <v>17752773</v>
      </c>
      <c r="H30" s="990"/>
      <c r="I30" s="990"/>
      <c r="J30" s="990"/>
      <c r="K30" s="990"/>
    </row>
    <row r="31" spans="1:21">
      <c r="A31" s="985" t="s">
        <v>99</v>
      </c>
      <c r="B31" s="1021">
        <v>20382034</v>
      </c>
      <c r="H31" s="1022"/>
      <c r="I31" s="1022"/>
      <c r="J31" s="990"/>
      <c r="K31" s="990"/>
      <c r="R31" s="1023"/>
    </row>
    <row r="32" spans="1:21">
      <c r="A32" s="985" t="s">
        <v>100</v>
      </c>
      <c r="B32" s="1024">
        <f>(B31-B30)/B30</f>
        <v>0.14810424264423366</v>
      </c>
      <c r="F32" s="989"/>
      <c r="H32" s="1021"/>
      <c r="I32" s="1021"/>
      <c r="R32" s="1023"/>
    </row>
    <row r="33" spans="8:18">
      <c r="H33" s="1024"/>
      <c r="I33" s="1024"/>
      <c r="R33" s="1023"/>
    </row>
    <row r="34" spans="8:18">
      <c r="R34" s="1023"/>
    </row>
    <row r="35" spans="8:18">
      <c r="R35" s="1023"/>
    </row>
    <row r="36" spans="8:18">
      <c r="R36" s="1023"/>
    </row>
    <row r="37" spans="8:18">
      <c r="R37" s="1023"/>
    </row>
    <row r="38" spans="8:18">
      <c r="R38" s="1023"/>
    </row>
    <row r="39" spans="8:18">
      <c r="R39" s="1023"/>
    </row>
    <row r="40" spans="8:18" s="1025" customFormat="1">
      <c r="R40" s="1026"/>
    </row>
    <row r="41" spans="8:18">
      <c r="R41" s="1023"/>
    </row>
    <row r="49" spans="2:10">
      <c r="B49" s="990"/>
      <c r="C49" s="990"/>
      <c r="D49" s="990"/>
      <c r="E49" s="990"/>
      <c r="F49" s="990"/>
      <c r="G49" s="990"/>
      <c r="H49" s="990"/>
      <c r="I49" s="990"/>
      <c r="J49" s="990"/>
    </row>
  </sheetData>
  <sheetProtection password="CC29" sheet="1" objects="1" scenarios="1" selectLockedCells="1" selectUnlockedCells="1"/>
  <mergeCells count="1">
    <mergeCell ref="J15:X15"/>
  </mergeCells>
  <pageMargins left="0.7" right="0.7" top="0.75" bottom="0.75" header="0.3" footer="0.3"/>
  <pageSetup scale="92"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2:S20"/>
  <sheetViews>
    <sheetView workbookViewId="0">
      <selection activeCell="B6" sqref="B6:S6"/>
    </sheetView>
  </sheetViews>
  <sheetFormatPr defaultRowHeight="15"/>
  <cols>
    <col min="2" max="2" width="10.5703125" bestFit="1" customWidth="1"/>
    <col min="3" max="3" width="16.42578125" bestFit="1" customWidth="1"/>
    <col min="4" max="4" width="17.7109375" bestFit="1" customWidth="1"/>
    <col min="6" max="6" width="13.5703125" bestFit="1" customWidth="1"/>
    <col min="7" max="7" width="10.5703125" bestFit="1" customWidth="1"/>
  </cols>
  <sheetData>
    <row r="2" spans="1:19">
      <c r="A2" s="1">
        <v>0.01</v>
      </c>
      <c r="C2" t="s">
        <v>53</v>
      </c>
      <c r="D2" t="s">
        <v>336</v>
      </c>
      <c r="E2">
        <v>2016</v>
      </c>
      <c r="F2">
        <v>2017</v>
      </c>
      <c r="G2">
        <v>2018</v>
      </c>
      <c r="H2">
        <v>2019</v>
      </c>
      <c r="I2">
        <v>2020</v>
      </c>
      <c r="J2">
        <v>2021</v>
      </c>
      <c r="K2">
        <v>2022</v>
      </c>
      <c r="L2">
        <v>2023</v>
      </c>
      <c r="M2">
        <v>2024</v>
      </c>
      <c r="N2">
        <v>2025</v>
      </c>
      <c r="O2">
        <v>2026</v>
      </c>
      <c r="P2">
        <v>2027</v>
      </c>
      <c r="Q2">
        <v>2028</v>
      </c>
      <c r="R2">
        <v>2029</v>
      </c>
      <c r="S2">
        <v>2030</v>
      </c>
    </row>
    <row r="3" spans="1:19">
      <c r="A3" s="1">
        <v>0.02</v>
      </c>
      <c r="B3" t="s">
        <v>370</v>
      </c>
      <c r="C3" s="1">
        <f>'All Rev &amp; Projects'!B126</f>
        <v>0.01</v>
      </c>
      <c r="D3" s="313">
        <f>SUM(F11:F12)*C3/1000000</f>
        <v>1.0583035191666668</v>
      </c>
      <c r="E3">
        <f>D3*(1+$I$12)</f>
        <v>1.0821153483479167</v>
      </c>
      <c r="F3">
        <f t="shared" ref="F3:S3" si="0">E3*(1+$I$12)</f>
        <v>1.1064629436857447</v>
      </c>
      <c r="G3">
        <f t="shared" si="0"/>
        <v>1.1313583599186738</v>
      </c>
      <c r="H3">
        <f t="shared" si="0"/>
        <v>1.1568139230168439</v>
      </c>
      <c r="I3">
        <f t="shared" si="0"/>
        <v>1.1828422362847228</v>
      </c>
      <c r="J3">
        <f t="shared" si="0"/>
        <v>1.2094561866011291</v>
      </c>
      <c r="K3">
        <f t="shared" si="0"/>
        <v>1.2366689507996544</v>
      </c>
      <c r="L3">
        <f t="shared" si="0"/>
        <v>1.2644940021926465</v>
      </c>
      <c r="M3">
        <f t="shared" si="0"/>
        <v>1.292945117241981</v>
      </c>
      <c r="N3">
        <f t="shared" si="0"/>
        <v>1.3220363823799255</v>
      </c>
      <c r="O3">
        <f t="shared" si="0"/>
        <v>1.3517822009834737</v>
      </c>
      <c r="P3">
        <f t="shared" si="0"/>
        <v>1.3821973005056019</v>
      </c>
      <c r="Q3">
        <f t="shared" si="0"/>
        <v>1.4132967397669778</v>
      </c>
      <c r="R3">
        <f t="shared" si="0"/>
        <v>1.4450959164117347</v>
      </c>
      <c r="S3">
        <f t="shared" si="0"/>
        <v>1.4776105745309986</v>
      </c>
    </row>
    <row r="4" spans="1:19">
      <c r="A4" s="1">
        <v>0.03</v>
      </c>
      <c r="B4" t="s">
        <v>371</v>
      </c>
      <c r="C4">
        <f>'All Rev &amp; Projects'!B128</f>
        <v>10000</v>
      </c>
      <c r="D4" s="109">
        <f>G17/1000000</f>
        <v>1.6</v>
      </c>
      <c r="E4">
        <f t="shared" ref="E4:S5" si="1">D4*(1+$I$12)</f>
        <v>1.6360000000000001</v>
      </c>
      <c r="F4">
        <f t="shared" si="1"/>
        <v>1.6728100000000001</v>
      </c>
      <c r="G4">
        <f t="shared" si="1"/>
        <v>1.7104482250000002</v>
      </c>
      <c r="H4">
        <f t="shared" si="1"/>
        <v>1.7489333100625002</v>
      </c>
      <c r="I4">
        <f t="shared" si="1"/>
        <v>1.7882843095389065</v>
      </c>
      <c r="J4">
        <f t="shared" si="1"/>
        <v>1.8285207065035318</v>
      </c>
      <c r="K4">
        <f t="shared" si="1"/>
        <v>1.8696624223998612</v>
      </c>
      <c r="L4">
        <f t="shared" si="1"/>
        <v>1.9117298269038581</v>
      </c>
      <c r="M4">
        <f t="shared" si="1"/>
        <v>1.9547437480091947</v>
      </c>
      <c r="N4">
        <f t="shared" si="1"/>
        <v>1.9987254823394016</v>
      </c>
      <c r="O4">
        <f t="shared" si="1"/>
        <v>2.0436968056920382</v>
      </c>
      <c r="P4">
        <f t="shared" si="1"/>
        <v>2.0896799838201088</v>
      </c>
      <c r="Q4">
        <f t="shared" si="1"/>
        <v>2.1366977834560612</v>
      </c>
      <c r="R4">
        <f t="shared" si="1"/>
        <v>2.1847734835838226</v>
      </c>
      <c r="S4">
        <f t="shared" si="1"/>
        <v>2.2339308869644587</v>
      </c>
    </row>
    <row r="5" spans="1:19">
      <c r="A5" s="1">
        <v>0.04</v>
      </c>
      <c r="B5" t="s">
        <v>357</v>
      </c>
      <c r="C5" s="1">
        <f>'All Rev &amp; Projects'!B131</f>
        <v>0.33</v>
      </c>
      <c r="D5" s="109">
        <f>G20/1000000</f>
        <v>9.702</v>
      </c>
      <c r="E5">
        <f>D5*(1+$I$12)</f>
        <v>9.9202949999999994</v>
      </c>
      <c r="F5">
        <f t="shared" si="1"/>
        <v>10.143501637499998</v>
      </c>
      <c r="G5">
        <f t="shared" si="1"/>
        <v>10.371730424343747</v>
      </c>
      <c r="H5">
        <f t="shared" si="1"/>
        <v>10.605094358891481</v>
      </c>
      <c r="I5">
        <f t="shared" si="1"/>
        <v>10.84370898196654</v>
      </c>
      <c r="J5">
        <f t="shared" si="1"/>
        <v>11.087692434060786</v>
      </c>
      <c r="K5">
        <f t="shared" si="1"/>
        <v>11.337165513827154</v>
      </c>
      <c r="L5">
        <f t="shared" si="1"/>
        <v>11.592251737888265</v>
      </c>
      <c r="M5">
        <f t="shared" si="1"/>
        <v>11.853077401990751</v>
      </c>
      <c r="N5">
        <f t="shared" si="1"/>
        <v>12.119771643535541</v>
      </c>
      <c r="O5">
        <f t="shared" si="1"/>
        <v>12.39246650551509</v>
      </c>
      <c r="P5">
        <f t="shared" si="1"/>
        <v>12.67129700188918</v>
      </c>
      <c r="Q5">
        <f t="shared" si="1"/>
        <v>12.956401184431686</v>
      </c>
      <c r="R5">
        <f t="shared" si="1"/>
        <v>13.247920211081398</v>
      </c>
      <c r="S5">
        <f t="shared" si="1"/>
        <v>13.545998415830729</v>
      </c>
    </row>
    <row r="6" spans="1:19">
      <c r="A6" s="1">
        <v>0.05</v>
      </c>
    </row>
    <row r="10" spans="1:19">
      <c r="D10" t="s">
        <v>362</v>
      </c>
      <c r="E10" t="s">
        <v>372</v>
      </c>
      <c r="F10" t="s">
        <v>295</v>
      </c>
    </row>
    <row r="11" spans="1:19">
      <c r="C11" t="s">
        <v>361</v>
      </c>
      <c r="D11">
        <v>2045558</v>
      </c>
      <c r="E11" s="1">
        <v>0.03</v>
      </c>
      <c r="F11" s="274">
        <f>(D11/E11)*(1+$I$12)</f>
        <v>69719435.166666672</v>
      </c>
      <c r="I11" t="s">
        <v>369</v>
      </c>
    </row>
    <row r="12" spans="1:19">
      <c r="C12" t="s">
        <v>363</v>
      </c>
      <c r="D12">
        <v>353163</v>
      </c>
      <c r="E12" s="1">
        <v>0.01</v>
      </c>
      <c r="F12" s="274">
        <f>(D12/E12)*(1+$I$12)</f>
        <v>36110916.75</v>
      </c>
      <c r="I12">
        <v>2.2499999999999999E-2</v>
      </c>
    </row>
    <row r="14" spans="1:19">
      <c r="D14" t="s">
        <v>356</v>
      </c>
      <c r="E14" t="s">
        <v>454</v>
      </c>
      <c r="G14" t="s">
        <v>142</v>
      </c>
    </row>
    <row r="15" spans="1:19">
      <c r="C15" t="s">
        <v>355</v>
      </c>
      <c r="D15">
        <v>10</v>
      </c>
      <c r="E15">
        <f>'All Rev &amp; Projects'!B128</f>
        <v>10000</v>
      </c>
      <c r="G15" s="112">
        <f>D15*E15</f>
        <v>100000</v>
      </c>
    </row>
    <row r="16" spans="1:19">
      <c r="C16" t="s">
        <v>453</v>
      </c>
      <c r="D16">
        <v>15</v>
      </c>
      <c r="E16">
        <f>'All Rev &amp; Projects'!B129</f>
        <v>10000</v>
      </c>
      <c r="G16" s="112">
        <f>E16*D16*D15</f>
        <v>1500000</v>
      </c>
    </row>
    <row r="17" spans="3:7">
      <c r="C17" t="s">
        <v>455</v>
      </c>
      <c r="G17" s="112">
        <f>G16+G15</f>
        <v>1600000</v>
      </c>
    </row>
    <row r="19" spans="3:7">
      <c r="D19" t="s">
        <v>360</v>
      </c>
      <c r="E19" t="s">
        <v>358</v>
      </c>
      <c r="F19" t="s">
        <v>359</v>
      </c>
      <c r="G19" t="s">
        <v>142</v>
      </c>
    </row>
    <row r="20" spans="3:7">
      <c r="C20" t="s">
        <v>357</v>
      </c>
      <c r="D20">
        <v>735000</v>
      </c>
      <c r="E20">
        <v>40</v>
      </c>
      <c r="F20" s="11">
        <f>C5</f>
        <v>0.33</v>
      </c>
      <c r="G20" s="112">
        <f>D20*E20*F20</f>
        <v>9702000</v>
      </c>
    </row>
  </sheetData>
  <sheetProtection password="CC29" sheet="1" objects="1" scenarios="1"/>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C16:T67"/>
  <sheetViews>
    <sheetView workbookViewId="0">
      <selection activeCell="B6" sqref="B6:S6"/>
    </sheetView>
  </sheetViews>
  <sheetFormatPr defaultRowHeight="15"/>
  <sheetData>
    <row r="16" spans="6:20">
      <c r="F16">
        <f t="shared" ref="F16:S16" si="0">F20</f>
        <v>2016</v>
      </c>
      <c r="G16">
        <f t="shared" si="0"/>
        <v>2017</v>
      </c>
      <c r="H16">
        <f t="shared" si="0"/>
        <v>2018</v>
      </c>
      <c r="I16">
        <f t="shared" si="0"/>
        <v>2019</v>
      </c>
      <c r="J16">
        <f t="shared" si="0"/>
        <v>2020</v>
      </c>
      <c r="K16">
        <f t="shared" si="0"/>
        <v>2021</v>
      </c>
      <c r="L16">
        <f t="shared" si="0"/>
        <v>2022</v>
      </c>
      <c r="M16">
        <f t="shared" si="0"/>
        <v>2023</v>
      </c>
      <c r="N16">
        <f t="shared" si="0"/>
        <v>2024</v>
      </c>
      <c r="O16">
        <f t="shared" si="0"/>
        <v>2025</v>
      </c>
      <c r="P16">
        <f t="shared" si="0"/>
        <v>2026</v>
      </c>
      <c r="Q16">
        <f t="shared" si="0"/>
        <v>2027</v>
      </c>
      <c r="R16">
        <f t="shared" si="0"/>
        <v>2028</v>
      </c>
      <c r="S16">
        <f t="shared" si="0"/>
        <v>2029</v>
      </c>
      <c r="T16">
        <f>T20</f>
        <v>2030</v>
      </c>
    </row>
    <row r="17" spans="3:20">
      <c r="E17" t="str">
        <f>INDEX(E21:E22,'All Rev &amp; Projects'!$A$15)</f>
        <v>Traditional</v>
      </c>
      <c r="F17">
        <f>INDEX($H$33:$H$47,F16-2015)*$D$27*$D$28*$D$29</f>
        <v>34</v>
      </c>
      <c r="G17">
        <f t="shared" ref="G17:T17" si="1">INDEX($H$33:$H$47,G16-2015)*$D$27*$D$28*$D$29</f>
        <v>37.274999999999999</v>
      </c>
      <c r="H17">
        <f t="shared" si="1"/>
        <v>37.375</v>
      </c>
      <c r="I17">
        <f t="shared" si="1"/>
        <v>36.25</v>
      </c>
      <c r="J17">
        <f t="shared" si="1"/>
        <v>38.95000000000001</v>
      </c>
      <c r="K17">
        <f t="shared" si="1"/>
        <v>40.975000000000001</v>
      </c>
      <c r="L17">
        <f t="shared" si="1"/>
        <v>43.050000000000011</v>
      </c>
      <c r="M17">
        <f t="shared" si="1"/>
        <v>45.25</v>
      </c>
      <c r="N17">
        <f t="shared" si="1"/>
        <v>47.524999999999999</v>
      </c>
      <c r="O17">
        <f t="shared" si="1"/>
        <v>49.875000000000007</v>
      </c>
      <c r="P17">
        <f t="shared" si="1"/>
        <v>52.29999999999999</v>
      </c>
      <c r="Q17">
        <f t="shared" si="1"/>
        <v>54.800000000000004</v>
      </c>
      <c r="R17">
        <f t="shared" si="1"/>
        <v>57.400000000000006</v>
      </c>
      <c r="S17">
        <f t="shared" si="1"/>
        <v>60.04999999999999</v>
      </c>
      <c r="T17">
        <f t="shared" si="1"/>
        <v>62.800000000000011</v>
      </c>
    </row>
    <row r="19" spans="3:20">
      <c r="E19" s="864"/>
    </row>
    <row r="20" spans="3:20">
      <c r="F20">
        <v>2016</v>
      </c>
      <c r="G20">
        <f t="shared" ref="G20:T20" si="2">F20+1</f>
        <v>2017</v>
      </c>
      <c r="H20">
        <f t="shared" si="2"/>
        <v>2018</v>
      </c>
      <c r="I20">
        <f t="shared" si="2"/>
        <v>2019</v>
      </c>
      <c r="J20">
        <f t="shared" si="2"/>
        <v>2020</v>
      </c>
      <c r="K20">
        <f t="shared" si="2"/>
        <v>2021</v>
      </c>
      <c r="L20">
        <f t="shared" si="2"/>
        <v>2022</v>
      </c>
      <c r="M20">
        <f t="shared" si="2"/>
        <v>2023</v>
      </c>
      <c r="N20">
        <f t="shared" si="2"/>
        <v>2024</v>
      </c>
      <c r="O20">
        <f t="shared" si="2"/>
        <v>2025</v>
      </c>
      <c r="P20">
        <f t="shared" si="2"/>
        <v>2026</v>
      </c>
      <c r="Q20">
        <f t="shared" si="2"/>
        <v>2027</v>
      </c>
      <c r="R20">
        <f t="shared" si="2"/>
        <v>2028</v>
      </c>
      <c r="S20">
        <f t="shared" si="2"/>
        <v>2029</v>
      </c>
      <c r="T20">
        <f t="shared" si="2"/>
        <v>2030</v>
      </c>
    </row>
    <row r="21" spans="3:20">
      <c r="E21" t="s">
        <v>671</v>
      </c>
      <c r="F21" s="864">
        <f>'Extended Forecast'!Y23</f>
        <v>1491</v>
      </c>
      <c r="G21" s="864">
        <f>'Extended Forecast'!Y24</f>
        <v>1495</v>
      </c>
      <c r="H21" s="864">
        <f>'Extended Forecast'!Y25</f>
        <v>1450</v>
      </c>
      <c r="I21" s="864">
        <f>'Extended Forecast'!Y26</f>
        <v>1558</v>
      </c>
      <c r="J21" s="864">
        <f>'Extended Forecast'!Y27</f>
        <v>1639</v>
      </c>
      <c r="K21" s="864">
        <f>'Extended Forecast'!Y28</f>
        <v>1722</v>
      </c>
      <c r="L21" s="864">
        <f>'Extended Forecast'!Y29</f>
        <v>1810</v>
      </c>
      <c r="M21" s="864">
        <f>'Extended Forecast'!Y30</f>
        <v>1901</v>
      </c>
      <c r="N21" s="864">
        <f>'Extended Forecast'!Y31</f>
        <v>1995</v>
      </c>
      <c r="O21" s="864">
        <f>'Extended Forecast'!Y32</f>
        <v>2092</v>
      </c>
      <c r="P21" s="864">
        <f>'Extended Forecast'!Y33</f>
        <v>2192</v>
      </c>
      <c r="Q21" s="864">
        <f>'Extended Forecast'!Y34</f>
        <v>2296</v>
      </c>
      <c r="R21" s="864">
        <f>'Extended Forecast'!Y35</f>
        <v>2402</v>
      </c>
      <c r="S21" s="864">
        <f>'Extended Forecast'!Y36</f>
        <v>2512</v>
      </c>
      <c r="T21" s="864">
        <f>'Extended Forecast'!Y37</f>
        <v>2626</v>
      </c>
    </row>
    <row r="22" spans="3:20">
      <c r="E22" t="s">
        <v>848</v>
      </c>
      <c r="F22">
        <f>INDEX(Endowment!B2:B3,ABS('All Rev &amp; Projects'!$A$23-3))</f>
        <v>1839.328</v>
      </c>
      <c r="G22">
        <f>INDEX(Endowment!C2:C3,ABS('All Rev &amp; Projects'!$A$23-3))</f>
        <v>1956.8717800000002</v>
      </c>
      <c r="H22">
        <f>INDEX(Endowment!D2:D3,ABS('All Rev &amp; Projects'!$A$23-3))</f>
        <v>2084.1934242299999</v>
      </c>
      <c r="I22">
        <f>INDEX(Endowment!E2:E3,ABS('All Rev &amp; Projects'!$A$23-3))</f>
        <v>2186.3626541863046</v>
      </c>
      <c r="J22">
        <f>INDEX(Endowment!F2:F3,ABS('All Rev &amp; Projects'!$A$23-3))</f>
        <v>2248.510590551432</v>
      </c>
      <c r="K22">
        <f>INDEX(Endowment!G2:G3,ABS('All Rev &amp; Projects'!$A$23-3))</f>
        <v>2304.2718602786035</v>
      </c>
      <c r="L22">
        <f>INDEX(Endowment!H2:H3,ABS('All Rev &amp; Projects'!$A$23-3))</f>
        <v>2359.7428972117668</v>
      </c>
      <c r="M22">
        <f>INDEX(Endowment!I2:I3,ABS('All Rev &amp; Projects'!$A$23-3))</f>
        <v>2415.4024339786256</v>
      </c>
      <c r="N22">
        <f>INDEX(Endowment!J2:J3,ABS('All Rev &amp; Projects'!$A$23-3))</f>
        <v>2471.8353601786575</v>
      </c>
      <c r="O22">
        <f>INDEX(Endowment!K2:K3,ABS('All Rev &amp; Projects'!$A$23-3))</f>
        <v>2529.4551296920527</v>
      </c>
      <c r="P22">
        <f>INDEX(Endowment!L2:L3,ABS('All Rev &amp; Projects'!$A$23-3))</f>
        <v>2588.3709587173962</v>
      </c>
      <c r="Q22">
        <f>INDEX(Endowment!M2:M3,ABS('All Rev &amp; Projects'!$A$23-3))</f>
        <v>2648.6373184402883</v>
      </c>
      <c r="R22">
        <f>INDEX(Endowment!N2:N3,ABS('All Rev &amp; Projects'!$A$23-3))</f>
        <v>2710.2989039163094</v>
      </c>
      <c r="S22">
        <f>INDEX(Endowment!O2:O3,ABS('All Rev &amp; Projects'!$A$23-3))</f>
        <v>2773.3935051396047</v>
      </c>
      <c r="T22">
        <f>INDEX(Endowment!P2:P3,ABS('All Rev &amp; Projects'!$A$23-3))</f>
        <v>2837.9559591784455</v>
      </c>
    </row>
    <row r="24" spans="3:20">
      <c r="F24">
        <f>'Extended Forecast'!W7</f>
        <v>0</v>
      </c>
    </row>
    <row r="25" spans="3:20">
      <c r="C25" s="314" t="s">
        <v>672</v>
      </c>
      <c r="D25" s="865">
        <f>'All Rev &amp; Projects'!B24</f>
        <v>0</v>
      </c>
    </row>
    <row r="26" spans="3:20">
      <c r="G26" s="9"/>
    </row>
    <row r="27" spans="3:20">
      <c r="C27" s="314" t="s">
        <v>673</v>
      </c>
      <c r="D27">
        <v>0.5</v>
      </c>
    </row>
    <row r="28" spans="3:20">
      <c r="C28" s="314" t="s">
        <v>674</v>
      </c>
      <c r="D28">
        <v>0.5</v>
      </c>
    </row>
    <row r="29" spans="3:20">
      <c r="C29" s="314" t="s">
        <v>675</v>
      </c>
      <c r="D29">
        <v>0.1</v>
      </c>
    </row>
    <row r="32" spans="3:20">
      <c r="H32" s="864"/>
    </row>
    <row r="33" spans="7:8">
      <c r="H33" s="864">
        <f>'PFD  Limits &amp; SB 114'!N23*'PFD  Limits &amp; SB 114'!D23*0.92/1000000</f>
        <v>1360</v>
      </c>
    </row>
    <row r="34" spans="7:8">
      <c r="G34" s="864"/>
      <c r="H34" s="864">
        <f>'PFD  Limits &amp; SB 114'!N24*'PFD  Limits &amp; SB 114'!D24*0.92/1000000</f>
        <v>1491</v>
      </c>
    </row>
    <row r="35" spans="7:8">
      <c r="G35" s="864"/>
      <c r="H35" s="864">
        <f>'PFD  Limits &amp; SB 114'!N25*'PFD  Limits &amp; SB 114'!D25*0.92/1000000</f>
        <v>1495</v>
      </c>
    </row>
    <row r="36" spans="7:8">
      <c r="G36" s="864"/>
      <c r="H36" s="864">
        <f>'PFD  Limits &amp; SB 114'!N26*'PFD  Limits &amp; SB 114'!D26*0.92/1000000</f>
        <v>1450</v>
      </c>
    </row>
    <row r="37" spans="7:8">
      <c r="G37" s="864"/>
      <c r="H37" s="864">
        <f>'PFD  Limits &amp; SB 114'!N27*'PFD  Limits &amp; SB 114'!D27*0.92/1000000</f>
        <v>1558.0000000000002</v>
      </c>
    </row>
    <row r="38" spans="7:8">
      <c r="G38" s="864"/>
      <c r="H38" s="864">
        <f>'PFD  Limits &amp; SB 114'!N28*'PFD  Limits &amp; SB 114'!D28*0.92/1000000</f>
        <v>1639</v>
      </c>
    </row>
    <row r="39" spans="7:8">
      <c r="G39" s="864"/>
      <c r="H39" s="864">
        <f>'PFD  Limits &amp; SB 114'!N29*'PFD  Limits &amp; SB 114'!D29*0.92/1000000</f>
        <v>1722.0000000000002</v>
      </c>
    </row>
    <row r="40" spans="7:8">
      <c r="G40" s="864"/>
      <c r="H40" s="864">
        <f>'PFD  Limits &amp; SB 114'!N30*'PFD  Limits &amp; SB 114'!D30*0.92/1000000</f>
        <v>1809.9999999999998</v>
      </c>
    </row>
    <row r="41" spans="7:8">
      <c r="G41" s="864"/>
      <c r="H41" s="864">
        <f>'PFD  Limits &amp; SB 114'!N31*'PFD  Limits &amp; SB 114'!D31*0.92/1000000</f>
        <v>1900.9999999999998</v>
      </c>
    </row>
    <row r="42" spans="7:8">
      <c r="G42" s="864"/>
      <c r="H42" s="864">
        <f>'PFD  Limits &amp; SB 114'!N32*'PFD  Limits &amp; SB 114'!D32*0.92/1000000</f>
        <v>1995.0000000000002</v>
      </c>
    </row>
    <row r="43" spans="7:8">
      <c r="G43" s="864"/>
      <c r="H43" s="864">
        <f>'PFD  Limits &amp; SB 114'!N33*'PFD  Limits &amp; SB 114'!D33*0.92/1000000</f>
        <v>2091.9999999999995</v>
      </c>
    </row>
    <row r="44" spans="7:8">
      <c r="G44" s="864"/>
      <c r="H44" s="864">
        <f>'PFD  Limits &amp; SB 114'!N34*'PFD  Limits &amp; SB 114'!D34*0.92/1000000</f>
        <v>2192</v>
      </c>
    </row>
    <row r="45" spans="7:8">
      <c r="G45" s="864"/>
      <c r="H45" s="864">
        <f>'PFD  Limits &amp; SB 114'!N35*'PFD  Limits &amp; SB 114'!D35*0.92/1000000</f>
        <v>2296</v>
      </c>
    </row>
    <row r="46" spans="7:8">
      <c r="G46" s="864"/>
      <c r="H46" s="864">
        <f>'PFD  Limits &amp; SB 114'!N36*'PFD  Limits &amp; SB 114'!D36*0.92/1000000</f>
        <v>2401.9999999999995</v>
      </c>
    </row>
    <row r="47" spans="7:8">
      <c r="G47" s="864"/>
      <c r="H47" s="864">
        <f>'PFD  Limits &amp; SB 114'!N37*'PFD  Limits &amp; SB 114'!D37*0.92/1000000</f>
        <v>2512.0000000000005</v>
      </c>
    </row>
    <row r="48" spans="7:8">
      <c r="G48" s="864"/>
      <c r="H48" s="864"/>
    </row>
    <row r="49" spans="7:8">
      <c r="G49" s="864"/>
      <c r="H49" s="864"/>
    </row>
    <row r="50" spans="7:8">
      <c r="G50" s="864"/>
    </row>
    <row r="51" spans="7:8">
      <c r="G51" s="864"/>
    </row>
    <row r="52" spans="7:8">
      <c r="G52" s="864"/>
    </row>
    <row r="53" spans="7:8">
      <c r="G53" s="864"/>
    </row>
    <row r="54" spans="7:8">
      <c r="G54" s="864"/>
    </row>
    <row r="55" spans="7:8">
      <c r="G55" s="864"/>
    </row>
    <row r="56" spans="7:8">
      <c r="G56" s="864"/>
    </row>
    <row r="57" spans="7:8">
      <c r="G57" s="864"/>
    </row>
    <row r="58" spans="7:8">
      <c r="G58" s="864"/>
    </row>
    <row r="59" spans="7:8">
      <c r="G59" s="864"/>
    </row>
    <row r="60" spans="7:8">
      <c r="G60" s="864"/>
    </row>
    <row r="61" spans="7:8">
      <c r="G61" s="864"/>
    </row>
    <row r="62" spans="7:8">
      <c r="G62" s="864"/>
    </row>
    <row r="63" spans="7:8">
      <c r="G63" s="864"/>
    </row>
    <row r="64" spans="7:8">
      <c r="G64" s="864"/>
    </row>
    <row r="65" spans="7:7">
      <c r="G65" s="864"/>
    </row>
    <row r="66" spans="7:7">
      <c r="G66" s="864"/>
    </row>
    <row r="67" spans="7:7">
      <c r="G67" s="864"/>
    </row>
  </sheetData>
  <sheetProtection password="CC29"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S9"/>
  <sheetViews>
    <sheetView workbookViewId="0">
      <selection activeCell="B6" sqref="B6:S6"/>
    </sheetView>
  </sheetViews>
  <sheetFormatPr defaultRowHeight="15"/>
  <cols>
    <col min="1" max="1" width="30.7109375" bestFit="1" customWidth="1"/>
  </cols>
  <sheetData>
    <row r="1" spans="1:19" ht="15.75" thickBot="1"/>
    <row r="2" spans="1:19" ht="15.75" thickBot="1">
      <c r="A2" t="s">
        <v>404</v>
      </c>
      <c r="B2" s="355">
        <f>'All Rev &amp; Projects'!B135*N('All Rev &amp; Projects'!A134)</f>
        <v>0</v>
      </c>
      <c r="C2">
        <f>$B$2*C7*(1+$B$3)+C5*$B$3</f>
        <v>0</v>
      </c>
      <c r="D2">
        <f t="shared" ref="D2:S2" si="0">$B$2*D7*(1+$B$3)+D5*$B$3</f>
        <v>0</v>
      </c>
      <c r="E2">
        <f t="shared" si="0"/>
        <v>0</v>
      </c>
      <c r="F2">
        <f t="shared" si="0"/>
        <v>0</v>
      </c>
      <c r="G2">
        <f t="shared" si="0"/>
        <v>0</v>
      </c>
      <c r="H2">
        <f t="shared" si="0"/>
        <v>0</v>
      </c>
      <c r="I2">
        <f t="shared" si="0"/>
        <v>0</v>
      </c>
      <c r="J2">
        <f t="shared" si="0"/>
        <v>0</v>
      </c>
      <c r="K2">
        <f t="shared" si="0"/>
        <v>0</v>
      </c>
      <c r="L2">
        <f t="shared" si="0"/>
        <v>0</v>
      </c>
      <c r="M2">
        <f t="shared" si="0"/>
        <v>0</v>
      </c>
      <c r="N2">
        <f t="shared" si="0"/>
        <v>0</v>
      </c>
      <c r="O2">
        <f t="shared" si="0"/>
        <v>0</v>
      </c>
      <c r="P2">
        <f t="shared" si="0"/>
        <v>0</v>
      </c>
      <c r="Q2">
        <f t="shared" si="0"/>
        <v>0</v>
      </c>
      <c r="R2">
        <f t="shared" si="0"/>
        <v>0</v>
      </c>
      <c r="S2">
        <f t="shared" si="0"/>
        <v>0</v>
      </c>
    </row>
    <row r="3" spans="1:19" ht="15.75" thickBot="1">
      <c r="A3" t="s">
        <v>405</v>
      </c>
      <c r="B3" s="358">
        <f>IF('All Rev &amp; Projects'!B136="NO",0,1)</f>
        <v>0</v>
      </c>
    </row>
    <row r="4" spans="1:19">
      <c r="C4" s="343" t="s">
        <v>0</v>
      </c>
      <c r="D4" s="343" t="s">
        <v>1</v>
      </c>
      <c r="E4" s="343" t="s">
        <v>2</v>
      </c>
      <c r="F4" s="343" t="s">
        <v>3</v>
      </c>
      <c r="G4" s="343" t="s">
        <v>4</v>
      </c>
      <c r="H4" s="343" t="s">
        <v>5</v>
      </c>
      <c r="I4" s="343" t="s">
        <v>6</v>
      </c>
      <c r="J4" s="343" t="s">
        <v>7</v>
      </c>
      <c r="K4" s="343" t="s">
        <v>8</v>
      </c>
      <c r="L4" s="343" t="s">
        <v>9</v>
      </c>
      <c r="M4" s="343" t="s">
        <v>21</v>
      </c>
      <c r="N4" s="343" t="s">
        <v>35</v>
      </c>
      <c r="O4" s="343" t="s">
        <v>36</v>
      </c>
      <c r="P4" s="343" t="s">
        <v>37</v>
      </c>
      <c r="Q4" s="343" t="s">
        <v>38</v>
      </c>
      <c r="R4" s="343" t="s">
        <v>39</v>
      </c>
      <c r="S4" s="343" t="s">
        <v>40</v>
      </c>
    </row>
    <row r="5" spans="1:19">
      <c r="A5" t="s">
        <v>402</v>
      </c>
      <c r="C5" s="344">
        <v>23.3</v>
      </c>
      <c r="D5" s="344">
        <v>32.200000000000003</v>
      </c>
      <c r="E5" s="344">
        <v>36.4</v>
      </c>
      <c r="F5" s="344">
        <v>36.1</v>
      </c>
      <c r="G5" s="344">
        <v>40.5</v>
      </c>
      <c r="H5" s="344">
        <v>37.700000000000003</v>
      </c>
      <c r="I5" s="344">
        <v>38.799999999999997</v>
      </c>
      <c r="J5" s="344">
        <v>40.700000000000003</v>
      </c>
      <c r="K5" s="344">
        <v>37.200000000000003</v>
      </c>
      <c r="L5" s="344">
        <v>42.1</v>
      </c>
      <c r="M5" s="344">
        <v>42.8</v>
      </c>
      <c r="N5" s="344">
        <v>43.5</v>
      </c>
      <c r="O5" s="344">
        <v>44.8</v>
      </c>
      <c r="P5" s="344">
        <v>46.2</v>
      </c>
      <c r="Q5" s="344">
        <v>45.7</v>
      </c>
      <c r="R5" s="344">
        <v>47</v>
      </c>
      <c r="S5" s="344">
        <v>48.4</v>
      </c>
    </row>
    <row r="7" spans="1:19">
      <c r="A7" t="s">
        <v>403</v>
      </c>
      <c r="C7">
        <f t="shared" ref="C7:S7" si="1">C5/($B$9*0.01)</f>
        <v>333.33333333333331</v>
      </c>
      <c r="D7">
        <f t="shared" si="1"/>
        <v>460.65808297567958</v>
      </c>
      <c r="E7">
        <f t="shared" si="1"/>
        <v>520.74391988555078</v>
      </c>
      <c r="F7">
        <f t="shared" si="1"/>
        <v>516.4520743919885</v>
      </c>
      <c r="G7">
        <f t="shared" si="1"/>
        <v>579.39914163090123</v>
      </c>
      <c r="H7">
        <f t="shared" si="1"/>
        <v>539.34191702432042</v>
      </c>
      <c r="I7">
        <f t="shared" si="1"/>
        <v>555.07868383404855</v>
      </c>
      <c r="J7">
        <f t="shared" si="1"/>
        <v>582.26037195994274</v>
      </c>
      <c r="K7">
        <f t="shared" si="1"/>
        <v>532.18884120171674</v>
      </c>
      <c r="L7">
        <f t="shared" si="1"/>
        <v>602.28898426323315</v>
      </c>
      <c r="M7">
        <f t="shared" si="1"/>
        <v>612.30329041487835</v>
      </c>
      <c r="N7">
        <f t="shared" si="1"/>
        <v>622.31759656652355</v>
      </c>
      <c r="O7">
        <f t="shared" si="1"/>
        <v>640.91559370529319</v>
      </c>
      <c r="P7">
        <f t="shared" si="1"/>
        <v>660.94420600858371</v>
      </c>
      <c r="Q7">
        <f t="shared" si="1"/>
        <v>653.79113018598002</v>
      </c>
      <c r="R7">
        <f t="shared" si="1"/>
        <v>672.38912732474955</v>
      </c>
      <c r="S7">
        <f t="shared" si="1"/>
        <v>692.41773962803995</v>
      </c>
    </row>
    <row r="9" spans="1:19">
      <c r="A9" t="s">
        <v>406</v>
      </c>
      <c r="B9">
        <v>6.99</v>
      </c>
    </row>
  </sheetData>
  <sheetProtection password="CC29"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V49"/>
  <sheetViews>
    <sheetView workbookViewId="0">
      <selection activeCell="B6" sqref="B6:S6"/>
    </sheetView>
  </sheetViews>
  <sheetFormatPr defaultColWidth="9.140625" defaultRowHeight="15"/>
  <cols>
    <col min="1" max="1" width="30.42578125" style="43" customWidth="1"/>
    <col min="2" max="11" width="12.85546875" style="43" customWidth="1"/>
    <col min="12" max="12" width="14.7109375" style="43" customWidth="1"/>
    <col min="13" max="22" width="12.85546875" style="43" customWidth="1"/>
    <col min="23" max="16384" width="9.140625" style="43"/>
  </cols>
  <sheetData>
    <row r="1" spans="1:22" s="46" customFormat="1">
      <c r="B1" s="46" t="str">
        <f>B7</f>
        <v>FY16</v>
      </c>
      <c r="C1" s="46" t="str">
        <f t="shared" ref="C1:Q1" si="0">C7</f>
        <v>FY17</v>
      </c>
      <c r="D1" s="46" t="str">
        <f t="shared" si="0"/>
        <v>FY18</v>
      </c>
      <c r="E1" s="46" t="str">
        <f t="shared" si="0"/>
        <v>FY19</v>
      </c>
      <c r="F1" s="46" t="str">
        <f t="shared" si="0"/>
        <v>FY20</v>
      </c>
      <c r="G1" s="46" t="str">
        <f t="shared" si="0"/>
        <v>FY21</v>
      </c>
      <c r="H1" s="46" t="str">
        <f t="shared" si="0"/>
        <v>FY22</v>
      </c>
      <c r="I1" s="46" t="str">
        <f t="shared" si="0"/>
        <v>FY23</v>
      </c>
      <c r="J1" s="46" t="str">
        <f t="shared" si="0"/>
        <v>FY24</v>
      </c>
      <c r="K1" s="46" t="str">
        <f t="shared" si="0"/>
        <v>FY25</v>
      </c>
      <c r="L1" s="46" t="str">
        <f t="shared" si="0"/>
        <v>FY26</v>
      </c>
      <c r="M1" s="46" t="str">
        <f t="shared" si="0"/>
        <v>FY27</v>
      </c>
      <c r="N1" s="46" t="str">
        <f t="shared" si="0"/>
        <v>FY28</v>
      </c>
      <c r="O1" s="46" t="str">
        <f t="shared" si="0"/>
        <v>FY29</v>
      </c>
      <c r="P1" s="46" t="str">
        <f t="shared" si="0"/>
        <v>FY30</v>
      </c>
      <c r="Q1" s="46" t="str">
        <f t="shared" si="0"/>
        <v>FY31</v>
      </c>
    </row>
    <row r="2" spans="1:22" s="46" customFormat="1">
      <c r="A2" s="46" t="s">
        <v>101</v>
      </c>
      <c r="B2" s="46">
        <f>VLOOKUP($A$2,$A$8:$Q$10,MATCH(B1,$A$7:$Q$7,0),FALSE)/1000000</f>
        <v>34.839780000000005</v>
      </c>
      <c r="C2" s="46">
        <f t="shared" ref="C2:Q2" si="1">VLOOKUP($A$2,$A$8:$Q$10,MATCH(C1,$A$7:$Q$7,0),FALSE)/1000000</f>
        <v>35.200900000000004</v>
      </c>
      <c r="D2" s="46">
        <f t="shared" si="1"/>
        <v>35.562020000000004</v>
      </c>
      <c r="E2" s="46">
        <f t="shared" si="1"/>
        <v>35.923140000000011</v>
      </c>
      <c r="F2" s="46">
        <f t="shared" si="1"/>
        <v>36.28426000000001</v>
      </c>
      <c r="G2" s="46">
        <f t="shared" si="1"/>
        <v>36.64538000000001</v>
      </c>
      <c r="H2" s="46">
        <f t="shared" si="1"/>
        <v>37.006500000000003</v>
      </c>
      <c r="I2" s="46">
        <f t="shared" si="1"/>
        <v>37.406540265000004</v>
      </c>
      <c r="J2" s="46">
        <f t="shared" si="1"/>
        <v>37.806580529999998</v>
      </c>
      <c r="K2" s="46">
        <f t="shared" si="1"/>
        <v>38.206620794999999</v>
      </c>
      <c r="L2" s="46">
        <f t="shared" si="1"/>
        <v>38.60666106</v>
      </c>
      <c r="M2" s="46">
        <f t="shared" si="1"/>
        <v>39.006701325000002</v>
      </c>
      <c r="N2" s="46">
        <f t="shared" si="1"/>
        <v>39.406741590000003</v>
      </c>
      <c r="O2" s="46">
        <f t="shared" si="1"/>
        <v>39.806781855000004</v>
      </c>
      <c r="P2" s="46">
        <f t="shared" si="1"/>
        <v>40.206822120000005</v>
      </c>
      <c r="Q2" s="46">
        <f t="shared" si="1"/>
        <v>40.606862385000007</v>
      </c>
    </row>
    <row r="3" spans="1:22" s="46" customFormat="1">
      <c r="A3" s="46">
        <v>100</v>
      </c>
    </row>
    <row r="4" spans="1:22" s="46" customFormat="1">
      <c r="A4" s="46">
        <v>300</v>
      </c>
    </row>
    <row r="5" spans="1:22" s="46" customFormat="1">
      <c r="A5" s="46">
        <v>500</v>
      </c>
    </row>
    <row r="6" spans="1:22" s="46" customFormat="1">
      <c r="A6" s="47"/>
      <c r="B6" s="48"/>
      <c r="C6" s="48"/>
      <c r="D6" s="48"/>
      <c r="E6" s="48"/>
      <c r="F6" s="48"/>
      <c r="G6" s="48"/>
      <c r="H6" s="48"/>
      <c r="I6" s="48"/>
      <c r="J6" s="48"/>
      <c r="K6" s="48"/>
      <c r="L6" s="48"/>
      <c r="M6" s="48"/>
      <c r="N6" s="48"/>
      <c r="O6" s="48"/>
      <c r="P6" s="48"/>
      <c r="Q6" s="48"/>
    </row>
    <row r="7" spans="1:22" s="46" customFormat="1">
      <c r="A7" s="47" t="s">
        <v>102</v>
      </c>
      <c r="B7" s="49" t="s">
        <v>103</v>
      </c>
      <c r="C7" s="49" t="s">
        <v>104</v>
      </c>
      <c r="D7" s="49" t="s">
        <v>105</v>
      </c>
      <c r="E7" s="49" t="s">
        <v>106</v>
      </c>
      <c r="F7" s="49" t="s">
        <v>107</v>
      </c>
      <c r="G7" s="49" t="s">
        <v>108</v>
      </c>
      <c r="H7" s="49" t="s">
        <v>109</v>
      </c>
      <c r="I7" s="49" t="s">
        <v>110</v>
      </c>
      <c r="J7" s="49" t="s">
        <v>111</v>
      </c>
      <c r="K7" s="49" t="s">
        <v>112</v>
      </c>
      <c r="L7" s="49" t="s">
        <v>113</v>
      </c>
      <c r="M7" s="49" t="s">
        <v>114</v>
      </c>
      <c r="N7" s="49" t="s">
        <v>115</v>
      </c>
      <c r="O7" s="49" t="s">
        <v>116</v>
      </c>
      <c r="P7" s="49" t="s">
        <v>117</v>
      </c>
      <c r="Q7" s="49" t="s">
        <v>118</v>
      </c>
    </row>
    <row r="8" spans="1:22" s="46" customFormat="1">
      <c r="A8" s="47" t="s">
        <v>119</v>
      </c>
      <c r="B8" s="50">
        <f>+B12*'School Tax'!F17</f>
        <v>35399017.999999993</v>
      </c>
      <c r="C8" s="50">
        <f>+C12*'School Tax'!G17</f>
        <v>35899947.499999993</v>
      </c>
      <c r="D8" s="50">
        <f>+D12*'School Tax'!H17</f>
        <v>36400876.999999993</v>
      </c>
      <c r="E8" s="50">
        <f>+E12*'School Tax'!I17</f>
        <v>36901806.499999985</v>
      </c>
      <c r="F8" s="50">
        <f>+F12*'School Tax'!J17</f>
        <v>37402735.999999985</v>
      </c>
      <c r="G8" s="50">
        <f>+G12*'School Tax'!K17</f>
        <v>37903665.499999985</v>
      </c>
      <c r="H8" s="50">
        <f>+H12*'School Tax'!L17</f>
        <v>38404594.999999993</v>
      </c>
      <c r="I8" s="50">
        <f>+I12*'School Tax'!M17</f>
        <v>38980663.924999997</v>
      </c>
      <c r="J8" s="50">
        <f>+J12*'School Tax'!N17</f>
        <v>39556732.849999994</v>
      </c>
      <c r="K8" s="50">
        <f>+K12*'School Tax'!O17</f>
        <v>40132801.774999991</v>
      </c>
      <c r="L8" s="50">
        <f>+L12*'School Tax'!P17</f>
        <v>40708870.699999996</v>
      </c>
      <c r="M8" s="50">
        <f>+M12*'School Tax'!Q17</f>
        <v>41284939.624999993</v>
      </c>
      <c r="N8" s="50">
        <f>+N12*'School Tax'!R17</f>
        <v>41861008.54999999</v>
      </c>
      <c r="O8" s="50">
        <f>+O12*'School Tax'!S17</f>
        <v>42437077.474999994</v>
      </c>
      <c r="P8" s="50">
        <f>+P12*'School Tax'!T17</f>
        <v>43013146.399999991</v>
      </c>
      <c r="Q8" s="50">
        <f>+Q12*'School Tax'!U17</f>
        <v>43589215.324999988</v>
      </c>
    </row>
    <row r="9" spans="1:22" s="46" customFormat="1">
      <c r="A9" s="47" t="s">
        <v>101</v>
      </c>
      <c r="B9" s="50">
        <f>+B12*'School Tax'!F22</f>
        <v>34839780.000000007</v>
      </c>
      <c r="C9" s="50">
        <f>+C12*'School Tax'!G22</f>
        <v>35200900.000000007</v>
      </c>
      <c r="D9" s="50">
        <f>+D12*'School Tax'!H22</f>
        <v>35562020.000000007</v>
      </c>
      <c r="E9" s="50">
        <f>+E12*'School Tax'!I22</f>
        <v>35923140.000000007</v>
      </c>
      <c r="F9" s="50">
        <f>+F12*'School Tax'!J22</f>
        <v>36284260.000000007</v>
      </c>
      <c r="G9" s="50">
        <f>+G12*'School Tax'!K22</f>
        <v>36645380.000000007</v>
      </c>
      <c r="H9" s="50">
        <f>+H12*'School Tax'!L22</f>
        <v>37006500</v>
      </c>
      <c r="I9" s="50">
        <f>+I12*'School Tax'!M22</f>
        <v>37406540.265000001</v>
      </c>
      <c r="J9" s="50">
        <f>+J12*'School Tax'!N22</f>
        <v>37806580.530000001</v>
      </c>
      <c r="K9" s="50">
        <f>+K12*'School Tax'!O22</f>
        <v>38206620.795000002</v>
      </c>
      <c r="L9" s="50">
        <f>+L12*'School Tax'!P22</f>
        <v>38606661.060000002</v>
      </c>
      <c r="M9" s="50">
        <f>+M12*'School Tax'!Q22</f>
        <v>39006701.325000003</v>
      </c>
      <c r="N9" s="50">
        <f>+N12*'School Tax'!R22</f>
        <v>39406741.590000004</v>
      </c>
      <c r="O9" s="50">
        <f>+O12*'School Tax'!S22</f>
        <v>39806781.855000004</v>
      </c>
      <c r="P9" s="50">
        <f>+P12*'School Tax'!T22</f>
        <v>40206822.120000005</v>
      </c>
      <c r="Q9" s="50">
        <f>+Q12*'School Tax'!U22</f>
        <v>40606862.385000005</v>
      </c>
    </row>
    <row r="10" spans="1:22" s="46" customFormat="1">
      <c r="A10" s="47" t="s">
        <v>120</v>
      </c>
      <c r="B10" s="50">
        <f>+B12*'School Tax'!F27</f>
        <v>34063206.000000007</v>
      </c>
      <c r="C10" s="50">
        <f>+C12*'School Tax'!G27</f>
        <v>34230182.500000007</v>
      </c>
      <c r="D10" s="50">
        <f>+D12*'School Tax'!H27</f>
        <v>34397159.000000007</v>
      </c>
      <c r="E10" s="50">
        <f>+E12*'School Tax'!I27</f>
        <v>34564135.500000007</v>
      </c>
      <c r="F10" s="50">
        <f>+F12*'School Tax'!J27</f>
        <v>34731112.000000015</v>
      </c>
      <c r="G10" s="50">
        <f>+G12*'School Tax'!K27</f>
        <v>34898088.500000015</v>
      </c>
      <c r="H10" s="50">
        <f>+H12*'School Tax'!L27</f>
        <v>35065065</v>
      </c>
      <c r="I10" s="50">
        <f>+I12*'School Tax'!M27</f>
        <v>35240390.325000003</v>
      </c>
      <c r="J10" s="50">
        <f>+J12*'School Tax'!N27</f>
        <v>35415715.650000006</v>
      </c>
      <c r="K10" s="50">
        <f>+K12*'School Tax'!O27</f>
        <v>35591040.975000001</v>
      </c>
      <c r="L10" s="50">
        <f>+L12*'School Tax'!P27</f>
        <v>35766366.300000004</v>
      </c>
      <c r="M10" s="50">
        <f>+M12*'School Tax'!Q27</f>
        <v>35941691.625000007</v>
      </c>
      <c r="N10" s="50">
        <f>+N12*'School Tax'!R27</f>
        <v>36117016.95000001</v>
      </c>
      <c r="O10" s="50">
        <f>+O12*'School Tax'!S27</f>
        <v>36292342.275000006</v>
      </c>
      <c r="P10" s="50">
        <f>+P12*'School Tax'!T27</f>
        <v>36467667.600000009</v>
      </c>
      <c r="Q10" s="50">
        <f>+Q12*'School Tax'!U27</f>
        <v>36642992.925000012</v>
      </c>
    </row>
    <row r="11" spans="1:22" s="46" customFormat="1"/>
    <row r="12" spans="1:22" s="46" customFormat="1">
      <c r="A12" s="47" t="s">
        <v>51</v>
      </c>
      <c r="B12" s="51">
        <f>'All Rev &amp; Projects'!B140</f>
        <v>100</v>
      </c>
      <c r="C12" s="52">
        <f>+B12</f>
        <v>100</v>
      </c>
      <c r="D12" s="52">
        <f t="shared" ref="D12:Q12" si="2">+C12</f>
        <v>100</v>
      </c>
      <c r="E12" s="52">
        <f t="shared" si="2"/>
        <v>100</v>
      </c>
      <c r="F12" s="52">
        <f t="shared" si="2"/>
        <v>100</v>
      </c>
      <c r="G12" s="52">
        <f t="shared" si="2"/>
        <v>100</v>
      </c>
      <c r="H12" s="52">
        <f t="shared" si="2"/>
        <v>100</v>
      </c>
      <c r="I12" s="52">
        <f t="shared" si="2"/>
        <v>100</v>
      </c>
      <c r="J12" s="52">
        <f t="shared" si="2"/>
        <v>100</v>
      </c>
      <c r="K12" s="52">
        <f t="shared" si="2"/>
        <v>100</v>
      </c>
      <c r="L12" s="52">
        <f t="shared" si="2"/>
        <v>100</v>
      </c>
      <c r="M12" s="52">
        <f t="shared" si="2"/>
        <v>100</v>
      </c>
      <c r="N12" s="52">
        <f t="shared" si="2"/>
        <v>100</v>
      </c>
      <c r="O12" s="52">
        <f t="shared" si="2"/>
        <v>100</v>
      </c>
      <c r="P12" s="52">
        <f t="shared" si="2"/>
        <v>100</v>
      </c>
      <c r="Q12" s="52">
        <f t="shared" si="2"/>
        <v>100</v>
      </c>
      <c r="R12" s="52"/>
      <c r="S12" s="52"/>
    </row>
    <row r="13" spans="1:22" s="46" customFormat="1">
      <c r="A13" s="47"/>
      <c r="B13" s="52"/>
      <c r="C13" s="52"/>
      <c r="D13" s="52"/>
      <c r="E13" s="52"/>
      <c r="F13" s="52"/>
      <c r="G13" s="52"/>
      <c r="H13" s="52"/>
      <c r="I13" s="52"/>
      <c r="J13" s="52"/>
      <c r="K13" s="52"/>
      <c r="L13" s="52"/>
      <c r="M13" s="52"/>
      <c r="N13" s="52"/>
      <c r="O13" s="52"/>
      <c r="P13" s="52"/>
      <c r="Q13" s="52"/>
      <c r="R13" s="52"/>
      <c r="S13" s="52"/>
    </row>
    <row r="15" spans="1:22">
      <c r="A15" s="53" t="s">
        <v>121</v>
      </c>
      <c r="E15" s="54"/>
      <c r="F15" s="54"/>
      <c r="G15" s="54"/>
      <c r="H15" s="54"/>
      <c r="I15" s="54"/>
      <c r="J15" s="54"/>
      <c r="K15" s="54"/>
      <c r="L15" s="55" t="s">
        <v>122</v>
      </c>
      <c r="M15" s="56"/>
      <c r="V15" s="55" t="s">
        <v>123</v>
      </c>
    </row>
    <row r="16" spans="1:22">
      <c r="A16" s="44" t="s">
        <v>124</v>
      </c>
      <c r="B16" s="49">
        <v>2012</v>
      </c>
      <c r="C16" s="49">
        <v>2013</v>
      </c>
      <c r="D16" s="49">
        <v>2014</v>
      </c>
      <c r="E16" s="57">
        <v>2015</v>
      </c>
      <c r="F16" s="57">
        <v>2016</v>
      </c>
      <c r="G16" s="57">
        <v>2017</v>
      </c>
      <c r="H16" s="57">
        <v>2018</v>
      </c>
      <c r="I16" s="57">
        <v>2019</v>
      </c>
      <c r="J16" s="57">
        <v>2020</v>
      </c>
      <c r="K16" s="57">
        <v>2021</v>
      </c>
      <c r="L16" s="58">
        <v>2022</v>
      </c>
      <c r="M16" s="57">
        <v>2023</v>
      </c>
      <c r="N16" s="57">
        <v>2024</v>
      </c>
      <c r="O16" s="57">
        <v>2025</v>
      </c>
      <c r="P16" s="57">
        <v>2026</v>
      </c>
      <c r="Q16" s="57">
        <v>2027</v>
      </c>
      <c r="R16" s="57">
        <v>2028</v>
      </c>
      <c r="S16" s="57">
        <v>2029</v>
      </c>
      <c r="T16" s="57">
        <v>2030</v>
      </c>
      <c r="U16" s="57">
        <v>2031</v>
      </c>
      <c r="V16" s="58">
        <v>2032</v>
      </c>
    </row>
    <row r="17" spans="1:22">
      <c r="A17" s="44" t="s">
        <v>125</v>
      </c>
      <c r="B17" s="59">
        <v>333953</v>
      </c>
      <c r="C17" s="60">
        <f>+B17+($L$17-$B$17)/10</f>
        <v>338962.29499999998</v>
      </c>
      <c r="D17" s="60">
        <f t="shared" ref="D17:K17" si="3">+C17+($L$17-$B$17)/10</f>
        <v>343971.58999999997</v>
      </c>
      <c r="E17" s="60">
        <f t="shared" si="3"/>
        <v>348980.88499999995</v>
      </c>
      <c r="F17" s="60">
        <f t="shared" si="3"/>
        <v>353990.17999999993</v>
      </c>
      <c r="G17" s="60">
        <f t="shared" si="3"/>
        <v>358999.47499999992</v>
      </c>
      <c r="H17" s="60">
        <f t="shared" si="3"/>
        <v>364008.7699999999</v>
      </c>
      <c r="I17" s="60">
        <f t="shared" si="3"/>
        <v>369018.06499999989</v>
      </c>
      <c r="J17" s="60">
        <f t="shared" si="3"/>
        <v>374027.35999999987</v>
      </c>
      <c r="K17" s="60">
        <f t="shared" si="3"/>
        <v>379036.65499999985</v>
      </c>
      <c r="L17" s="61">
        <f>+B17*(1+L18)</f>
        <v>384045.94999999995</v>
      </c>
      <c r="M17" s="62">
        <f>+L17+($V$17-$L$17)/10</f>
        <v>389806.63924999995</v>
      </c>
      <c r="N17" s="62">
        <f t="shared" ref="N17:U17" si="4">+M17+($V$17-$L$17)/10</f>
        <v>395567.32849999995</v>
      </c>
      <c r="O17" s="62">
        <f t="shared" si="4"/>
        <v>401328.01774999994</v>
      </c>
      <c r="P17" s="62">
        <f t="shared" si="4"/>
        <v>407088.70699999994</v>
      </c>
      <c r="Q17" s="62">
        <f t="shared" si="4"/>
        <v>412849.39624999993</v>
      </c>
      <c r="R17" s="62">
        <f t="shared" si="4"/>
        <v>418610.08549999993</v>
      </c>
      <c r="S17" s="62">
        <f t="shared" si="4"/>
        <v>424370.77474999992</v>
      </c>
      <c r="T17" s="62">
        <f t="shared" si="4"/>
        <v>430131.46399999992</v>
      </c>
      <c r="U17" s="62">
        <f t="shared" si="4"/>
        <v>435892.15324999992</v>
      </c>
      <c r="V17" s="61">
        <f>+L17*(1+V18)</f>
        <v>441652.84249999991</v>
      </c>
    </row>
    <row r="18" spans="1:22">
      <c r="C18" s="63"/>
      <c r="D18" s="63"/>
      <c r="E18" s="63"/>
      <c r="F18" s="63"/>
      <c r="J18" s="63"/>
      <c r="K18" s="44" t="s">
        <v>126</v>
      </c>
      <c r="L18" s="64">
        <v>0.15</v>
      </c>
      <c r="M18" s="63"/>
      <c r="N18" s="63"/>
      <c r="O18" s="63"/>
      <c r="P18" s="63"/>
      <c r="Q18" s="63"/>
      <c r="R18" s="63"/>
      <c r="S18" s="63"/>
      <c r="T18" s="63"/>
      <c r="U18" s="44" t="s">
        <v>126</v>
      </c>
      <c r="V18" s="64">
        <v>0.15</v>
      </c>
    </row>
    <row r="19" spans="1:22">
      <c r="C19" s="63"/>
      <c r="D19" s="65"/>
      <c r="E19" s="65"/>
      <c r="F19" s="65"/>
      <c r="G19" s="65"/>
      <c r="H19" s="65"/>
      <c r="I19" s="65"/>
      <c r="J19" s="65"/>
      <c r="K19" s="65"/>
      <c r="L19" s="65"/>
      <c r="M19" s="65"/>
      <c r="N19" s="65"/>
      <c r="O19" s="65"/>
      <c r="P19" s="65"/>
      <c r="Q19" s="65"/>
      <c r="R19" s="65"/>
      <c r="S19" s="65"/>
      <c r="T19" s="65"/>
      <c r="U19" s="65"/>
      <c r="V19" s="63"/>
    </row>
    <row r="20" spans="1:22">
      <c r="A20" s="53" t="s">
        <v>127</v>
      </c>
      <c r="E20" s="54"/>
      <c r="F20" s="54"/>
      <c r="G20" s="54"/>
      <c r="H20" s="54"/>
      <c r="I20" s="54"/>
      <c r="J20" s="54"/>
      <c r="K20" s="54"/>
      <c r="L20" s="55" t="s">
        <v>128</v>
      </c>
      <c r="M20" s="66"/>
      <c r="N20" s="67"/>
      <c r="O20" s="67"/>
      <c r="P20" s="67"/>
      <c r="Q20" s="67"/>
      <c r="R20" s="67"/>
      <c r="S20" s="67"/>
      <c r="T20" s="67"/>
      <c r="U20" s="67"/>
      <c r="V20" s="55" t="s">
        <v>129</v>
      </c>
    </row>
    <row r="21" spans="1:22">
      <c r="A21" s="44" t="s">
        <v>124</v>
      </c>
      <c r="B21" s="49">
        <v>2012</v>
      </c>
      <c r="C21" s="49">
        <v>2013</v>
      </c>
      <c r="D21" s="49">
        <v>2014</v>
      </c>
      <c r="E21" s="57">
        <v>2015</v>
      </c>
      <c r="F21" s="57">
        <v>2016</v>
      </c>
      <c r="G21" s="57">
        <v>2017</v>
      </c>
      <c r="H21" s="57">
        <v>2018</v>
      </c>
      <c r="I21" s="57">
        <v>2019</v>
      </c>
      <c r="J21" s="57">
        <v>2020</v>
      </c>
      <c r="K21" s="57">
        <v>2021</v>
      </c>
      <c r="L21" s="58">
        <v>2022</v>
      </c>
      <c r="M21" s="68">
        <v>2023</v>
      </c>
      <c r="N21" s="68">
        <v>2024</v>
      </c>
      <c r="O21" s="68">
        <v>2025</v>
      </c>
      <c r="P21" s="68">
        <v>2026</v>
      </c>
      <c r="Q21" s="68">
        <v>2027</v>
      </c>
      <c r="R21" s="68">
        <v>2028</v>
      </c>
      <c r="S21" s="68">
        <v>2029</v>
      </c>
      <c r="T21" s="68">
        <v>2030</v>
      </c>
      <c r="U21" s="68">
        <v>2031</v>
      </c>
      <c r="V21" s="58">
        <v>2032</v>
      </c>
    </row>
    <row r="22" spans="1:22">
      <c r="A22" s="44" t="s">
        <v>125</v>
      </c>
      <c r="B22" s="59">
        <v>333953</v>
      </c>
      <c r="C22" s="62">
        <f>+B22+($L$22-$B$22)/10</f>
        <v>337564.2</v>
      </c>
      <c r="D22" s="62">
        <f t="shared" ref="D22:K22" si="5">+C22+($L$22-$B$22)/10</f>
        <v>341175.4</v>
      </c>
      <c r="E22" s="62">
        <f t="shared" si="5"/>
        <v>344786.60000000003</v>
      </c>
      <c r="F22" s="62">
        <f t="shared" si="5"/>
        <v>348397.80000000005</v>
      </c>
      <c r="G22" s="62">
        <f t="shared" si="5"/>
        <v>352009.00000000006</v>
      </c>
      <c r="H22" s="62">
        <f t="shared" si="5"/>
        <v>355620.20000000007</v>
      </c>
      <c r="I22" s="62">
        <f t="shared" si="5"/>
        <v>359231.40000000008</v>
      </c>
      <c r="J22" s="62">
        <f t="shared" si="5"/>
        <v>362842.60000000009</v>
      </c>
      <c r="K22" s="62">
        <f t="shared" si="5"/>
        <v>366453.8000000001</v>
      </c>
      <c r="L22" s="61">
        <v>370065</v>
      </c>
      <c r="M22" s="69">
        <f>+L22+($V$22-$L$22)/10</f>
        <v>374065.40265</v>
      </c>
      <c r="N22" s="69">
        <f t="shared" ref="N22:U22" si="6">+M22+($V$22-$L$22)/10</f>
        <v>378065.80530000001</v>
      </c>
      <c r="O22" s="69">
        <f t="shared" si="6"/>
        <v>382066.20795000001</v>
      </c>
      <c r="P22" s="69">
        <f t="shared" si="6"/>
        <v>386066.61060000001</v>
      </c>
      <c r="Q22" s="69">
        <f t="shared" si="6"/>
        <v>390067.01325000002</v>
      </c>
      <c r="R22" s="69">
        <f t="shared" si="6"/>
        <v>394067.41590000002</v>
      </c>
      <c r="S22" s="69">
        <f t="shared" si="6"/>
        <v>398067.81855000003</v>
      </c>
      <c r="T22" s="69">
        <f t="shared" si="6"/>
        <v>402068.22120000003</v>
      </c>
      <c r="U22" s="69">
        <f t="shared" si="6"/>
        <v>406068.62385000003</v>
      </c>
      <c r="V22" s="61">
        <f>+L22*(1+V23)</f>
        <v>410069.02650000004</v>
      </c>
    </row>
    <row r="23" spans="1:22">
      <c r="K23" s="44" t="s">
        <v>126</v>
      </c>
      <c r="L23" s="64">
        <f>+(L22/B22)-1</f>
        <v>0.10813497707761277</v>
      </c>
      <c r="U23" s="44" t="s">
        <v>126</v>
      </c>
      <c r="V23" s="64">
        <v>0.1081</v>
      </c>
    </row>
    <row r="24" spans="1:22">
      <c r="C24" s="63"/>
      <c r="D24" s="63"/>
      <c r="E24" s="63"/>
      <c r="F24" s="63"/>
      <c r="G24" s="63"/>
      <c r="H24" s="63"/>
      <c r="I24" s="63"/>
      <c r="J24" s="63"/>
      <c r="K24" s="63"/>
      <c r="L24" s="63"/>
      <c r="M24" s="63"/>
      <c r="N24" s="63"/>
      <c r="O24" s="63"/>
      <c r="P24" s="63"/>
      <c r="Q24" s="63"/>
      <c r="R24" s="63"/>
      <c r="S24" s="63"/>
      <c r="T24" s="63"/>
      <c r="U24" s="63"/>
      <c r="V24" s="63"/>
    </row>
    <row r="25" spans="1:22">
      <c r="A25" s="53" t="s">
        <v>130</v>
      </c>
      <c r="E25" s="54"/>
      <c r="F25" s="54"/>
      <c r="G25" s="54"/>
      <c r="H25" s="54"/>
      <c r="I25" s="54"/>
      <c r="J25" s="54"/>
      <c r="K25" s="54"/>
      <c r="L25" s="55" t="s">
        <v>131</v>
      </c>
      <c r="M25" s="66"/>
      <c r="N25" s="67"/>
      <c r="O25" s="67"/>
      <c r="P25" s="67"/>
      <c r="Q25" s="67"/>
      <c r="R25" s="67"/>
      <c r="S25" s="67"/>
      <c r="T25" s="67"/>
      <c r="U25" s="67"/>
      <c r="V25" s="55" t="s">
        <v>132</v>
      </c>
    </row>
    <row r="26" spans="1:22">
      <c r="A26" s="44" t="s">
        <v>124</v>
      </c>
      <c r="B26" s="49">
        <v>2012</v>
      </c>
      <c r="C26" s="49">
        <v>2013</v>
      </c>
      <c r="D26" s="49">
        <v>2014</v>
      </c>
      <c r="E26" s="57">
        <v>2015</v>
      </c>
      <c r="F26" s="57">
        <v>2016</v>
      </c>
      <c r="G26" s="57">
        <v>2017</v>
      </c>
      <c r="H26" s="57">
        <v>2018</v>
      </c>
      <c r="I26" s="57">
        <v>2019</v>
      </c>
      <c r="J26" s="57">
        <v>2020</v>
      </c>
      <c r="K26" s="57">
        <v>2021</v>
      </c>
      <c r="L26" s="58">
        <v>2022</v>
      </c>
      <c r="M26" s="68">
        <v>2023</v>
      </c>
      <c r="N26" s="68">
        <v>2024</v>
      </c>
      <c r="O26" s="68">
        <v>2025</v>
      </c>
      <c r="P26" s="68">
        <v>2026</v>
      </c>
      <c r="Q26" s="68">
        <v>2027</v>
      </c>
      <c r="R26" s="68">
        <v>2028</v>
      </c>
      <c r="S26" s="68">
        <v>2029</v>
      </c>
      <c r="T26" s="68">
        <v>2030</v>
      </c>
      <c r="U26" s="68">
        <v>2031</v>
      </c>
      <c r="V26" s="58">
        <v>2032</v>
      </c>
    </row>
    <row r="27" spans="1:22">
      <c r="A27" s="44" t="s">
        <v>125</v>
      </c>
      <c r="B27" s="59">
        <v>333953</v>
      </c>
      <c r="C27" s="60">
        <f>+B27+($L$27-$B$27)/10</f>
        <v>335622.76500000001</v>
      </c>
      <c r="D27" s="60">
        <f t="shared" ref="D27:K27" si="7">+C27+($L$27-$B$27)/10</f>
        <v>337292.53</v>
      </c>
      <c r="E27" s="60">
        <f t="shared" si="7"/>
        <v>338962.29500000004</v>
      </c>
      <c r="F27" s="60">
        <f t="shared" si="7"/>
        <v>340632.06000000006</v>
      </c>
      <c r="G27" s="60">
        <f t="shared" si="7"/>
        <v>342301.82500000007</v>
      </c>
      <c r="H27" s="60">
        <f t="shared" si="7"/>
        <v>343971.59000000008</v>
      </c>
      <c r="I27" s="60">
        <f t="shared" si="7"/>
        <v>345641.3550000001</v>
      </c>
      <c r="J27" s="60">
        <f t="shared" si="7"/>
        <v>347311.12000000011</v>
      </c>
      <c r="K27" s="60">
        <f t="shared" si="7"/>
        <v>348980.88500000013</v>
      </c>
      <c r="L27" s="61">
        <f>+B27*(1+L28)</f>
        <v>350650.65</v>
      </c>
      <c r="M27" s="69">
        <f>+L27+($V$27-$L$27)/10</f>
        <v>352403.90325000003</v>
      </c>
      <c r="N27" s="69">
        <f t="shared" ref="N27:U27" si="8">+M27+($V$27-$L$27)/10</f>
        <v>354157.15650000004</v>
      </c>
      <c r="O27" s="69">
        <f t="shared" si="8"/>
        <v>355910.40975000005</v>
      </c>
      <c r="P27" s="69">
        <f t="shared" si="8"/>
        <v>357663.66300000006</v>
      </c>
      <c r="Q27" s="69">
        <f t="shared" si="8"/>
        <v>359416.91625000007</v>
      </c>
      <c r="R27" s="69">
        <f t="shared" si="8"/>
        <v>361170.16950000008</v>
      </c>
      <c r="S27" s="69">
        <f t="shared" si="8"/>
        <v>362923.42275000009</v>
      </c>
      <c r="T27" s="69">
        <f t="shared" si="8"/>
        <v>364676.67600000009</v>
      </c>
      <c r="U27" s="69">
        <f t="shared" si="8"/>
        <v>366429.9292500001</v>
      </c>
      <c r="V27" s="61">
        <f>+L27*(1+V28)</f>
        <v>368183.18250000005</v>
      </c>
    </row>
    <row r="28" spans="1:22">
      <c r="C28" s="63"/>
      <c r="D28" s="63"/>
      <c r="E28" s="63"/>
      <c r="F28" s="63"/>
      <c r="G28" s="63"/>
      <c r="H28" s="63"/>
      <c r="I28" s="63"/>
      <c r="J28" s="63"/>
      <c r="K28" s="44" t="s">
        <v>126</v>
      </c>
      <c r="L28" s="64">
        <v>0.05</v>
      </c>
      <c r="M28" s="63"/>
      <c r="N28" s="63"/>
      <c r="O28" s="63"/>
      <c r="P28" s="63"/>
      <c r="Q28" s="63"/>
      <c r="R28" s="63"/>
      <c r="S28" s="63"/>
      <c r="T28" s="63"/>
      <c r="U28" s="44" t="s">
        <v>126</v>
      </c>
      <c r="V28" s="64">
        <v>0.05</v>
      </c>
    </row>
    <row r="29" spans="1:22">
      <c r="A29" s="70"/>
      <c r="C29" s="63"/>
      <c r="D29" s="65"/>
      <c r="E29" s="65"/>
      <c r="F29" s="65"/>
      <c r="G29" s="65"/>
      <c r="H29" s="65"/>
      <c r="I29" s="65"/>
      <c r="J29" s="65"/>
      <c r="K29" s="63"/>
      <c r="L29" s="63"/>
      <c r="M29" s="65"/>
      <c r="N29" s="65"/>
      <c r="O29" s="65"/>
      <c r="P29" s="65"/>
      <c r="Q29" s="65"/>
      <c r="R29" s="65"/>
      <c r="S29" s="65"/>
      <c r="T29" s="65"/>
      <c r="U29" s="65"/>
      <c r="V29" s="63"/>
    </row>
    <row r="30" spans="1:22">
      <c r="A30" s="71" t="s">
        <v>133</v>
      </c>
      <c r="C30" s="63"/>
      <c r="D30" s="63"/>
      <c r="E30" s="63"/>
      <c r="F30" s="63"/>
      <c r="G30" s="63"/>
      <c r="H30" s="63"/>
      <c r="I30" s="63"/>
      <c r="J30" s="63"/>
      <c r="K30" s="63"/>
      <c r="L30" s="63"/>
      <c r="M30" s="63"/>
      <c r="N30" s="63"/>
      <c r="O30" s="63"/>
      <c r="P30" s="63"/>
      <c r="Q30" s="63"/>
      <c r="R30" s="63"/>
      <c r="S30" s="63"/>
      <c r="T30" s="63"/>
      <c r="U30" s="63"/>
      <c r="V30" s="63"/>
    </row>
    <row r="31" spans="1:22">
      <c r="A31" s="44"/>
      <c r="B31" s="72" t="s">
        <v>134</v>
      </c>
      <c r="C31" s="73" t="s">
        <v>135</v>
      </c>
      <c r="D31" s="74" t="s">
        <v>136</v>
      </c>
      <c r="E31" s="72" t="s">
        <v>137</v>
      </c>
      <c r="F31" s="75" t="s">
        <v>138</v>
      </c>
      <c r="G31" s="74"/>
    </row>
    <row r="32" spans="1:22" s="81" customFormat="1">
      <c r="A32" s="44"/>
      <c r="B32" s="76">
        <v>2012</v>
      </c>
      <c r="C32" s="77">
        <v>2022</v>
      </c>
      <c r="D32" s="78" t="s">
        <v>139</v>
      </c>
      <c r="E32" s="76" t="s">
        <v>140</v>
      </c>
      <c r="F32" s="79" t="s">
        <v>141</v>
      </c>
      <c r="G32" s="78" t="s">
        <v>142</v>
      </c>
      <c r="H32" s="80"/>
    </row>
    <row r="33" spans="1:8">
      <c r="B33" s="82">
        <v>333953</v>
      </c>
      <c r="C33" s="83">
        <v>370065</v>
      </c>
      <c r="D33" s="84">
        <f>+(C33/B33)-1</f>
        <v>0.10813497707761277</v>
      </c>
      <c r="E33" s="82">
        <v>36112</v>
      </c>
      <c r="F33" s="85">
        <v>95217</v>
      </c>
      <c r="G33" s="86">
        <v>131329</v>
      </c>
      <c r="H33" s="81"/>
    </row>
    <row r="34" spans="1:8">
      <c r="A34" s="87" t="s">
        <v>143</v>
      </c>
    </row>
    <row r="36" spans="1:8" s="46" customFormat="1">
      <c r="A36" s="1233" t="s">
        <v>144</v>
      </c>
      <c r="B36" s="1233"/>
      <c r="C36" s="1233"/>
      <c r="D36" s="88"/>
      <c r="E36" s="88"/>
      <c r="F36" s="88"/>
      <c r="G36" s="88"/>
    </row>
    <row r="37" spans="1:8" s="46" customFormat="1" ht="30.75" customHeight="1">
      <c r="A37" s="89" t="s">
        <v>145</v>
      </c>
      <c r="B37" s="1232" t="s">
        <v>146</v>
      </c>
      <c r="C37" s="1232"/>
      <c r="D37" s="1232"/>
      <c r="E37" s="1232"/>
      <c r="F37" s="1232"/>
      <c r="G37" s="1232"/>
    </row>
    <row r="38" spans="1:8" s="46" customFormat="1" ht="28.5" customHeight="1">
      <c r="A38" s="89" t="s">
        <v>145</v>
      </c>
      <c r="B38" s="1232" t="s">
        <v>147</v>
      </c>
      <c r="C38" s="1232"/>
      <c r="D38" s="1232"/>
      <c r="E38" s="1232"/>
      <c r="F38" s="1232"/>
      <c r="G38" s="1232"/>
    </row>
    <row r="39" spans="1:8" s="46" customFormat="1" ht="30" customHeight="1">
      <c r="A39" s="89" t="s">
        <v>145</v>
      </c>
      <c r="B39" s="1232" t="s">
        <v>148</v>
      </c>
      <c r="C39" s="1232"/>
      <c r="D39" s="1232"/>
      <c r="E39" s="1232"/>
      <c r="F39" s="1232"/>
      <c r="G39" s="1232"/>
    </row>
    <row r="40" spans="1:8" s="46" customFormat="1">
      <c r="A40" s="90" t="s">
        <v>149</v>
      </c>
      <c r="B40" s="91"/>
      <c r="C40" s="91"/>
      <c r="D40" s="91"/>
      <c r="E40" s="91"/>
      <c r="F40" s="88"/>
      <c r="G40" s="88"/>
    </row>
    <row r="41" spans="1:8" s="46" customFormat="1" ht="74.25" customHeight="1">
      <c r="A41" s="1232" t="s">
        <v>150</v>
      </c>
      <c r="B41" s="1232"/>
      <c r="C41" s="1232"/>
      <c r="D41" s="1232"/>
      <c r="E41" s="1232"/>
      <c r="F41" s="1232"/>
      <c r="G41" s="1232"/>
    </row>
    <row r="42" spans="1:8" s="46" customFormat="1">
      <c r="A42" s="92" t="s">
        <v>145</v>
      </c>
      <c r="B42" s="1232" t="s">
        <v>151</v>
      </c>
      <c r="C42" s="1232"/>
      <c r="D42" s="1232"/>
      <c r="E42" s="1232"/>
      <c r="F42" s="88"/>
      <c r="G42" s="88"/>
    </row>
    <row r="43" spans="1:8" s="46" customFormat="1">
      <c r="A43" s="92" t="s">
        <v>145</v>
      </c>
      <c r="B43" s="1232" t="s">
        <v>152</v>
      </c>
      <c r="C43" s="1232"/>
      <c r="D43" s="1232"/>
      <c r="E43" s="1232"/>
      <c r="F43" s="88"/>
      <c r="G43" s="88"/>
    </row>
    <row r="44" spans="1:8" s="46" customFormat="1">
      <c r="A44" s="92" t="s">
        <v>145</v>
      </c>
      <c r="B44" s="1232" t="s">
        <v>153</v>
      </c>
      <c r="C44" s="1232"/>
      <c r="D44" s="1232"/>
      <c r="E44" s="1232"/>
      <c r="F44" s="88"/>
      <c r="G44" s="88"/>
    </row>
    <row r="45" spans="1:8" s="46" customFormat="1">
      <c r="A45" s="92" t="s">
        <v>145</v>
      </c>
      <c r="B45" s="1232" t="s">
        <v>154</v>
      </c>
      <c r="C45" s="1232"/>
      <c r="D45" s="1232"/>
      <c r="E45" s="1232"/>
      <c r="F45" s="88"/>
      <c r="G45" s="88"/>
    </row>
    <row r="46" spans="1:8" s="46" customFormat="1">
      <c r="A46" s="92" t="s">
        <v>145</v>
      </c>
      <c r="B46" s="1232" t="s">
        <v>155</v>
      </c>
      <c r="C46" s="1232"/>
      <c r="D46" s="1232"/>
      <c r="E46" s="1232"/>
      <c r="F46" s="88"/>
      <c r="G46" s="88"/>
    </row>
    <row r="47" spans="1:8">
      <c r="A47" s="45"/>
      <c r="B47" s="45"/>
      <c r="C47" s="45"/>
      <c r="D47" s="45"/>
      <c r="E47" s="45"/>
      <c r="F47" s="45"/>
      <c r="G47" s="45"/>
    </row>
    <row r="48" spans="1:8">
      <c r="A48" s="45"/>
      <c r="B48" s="45"/>
      <c r="C48" s="45"/>
      <c r="D48" s="45"/>
      <c r="E48" s="45"/>
      <c r="F48" s="45"/>
      <c r="G48" s="45"/>
    </row>
    <row r="49" spans="1:3">
      <c r="A49" s="93" t="s">
        <v>156</v>
      </c>
      <c r="B49" s="93"/>
      <c r="C49" s="93"/>
    </row>
  </sheetData>
  <sheetProtection password="CC29" sheet="1" objects="1" scenarios="1"/>
  <mergeCells count="10">
    <mergeCell ref="B43:E43"/>
    <mergeCell ref="B44:E44"/>
    <mergeCell ref="B45:E45"/>
    <mergeCell ref="B46:E46"/>
    <mergeCell ref="A36:C36"/>
    <mergeCell ref="B37:G37"/>
    <mergeCell ref="B38:G38"/>
    <mergeCell ref="B39:G39"/>
    <mergeCell ref="A41:G41"/>
    <mergeCell ref="B42:E42"/>
  </mergeCells>
  <dataValidations count="1">
    <dataValidation type="list" allowBlank="1" showInputMessage="1" showErrorMessage="1" sqref="A2">
      <formula1>$A$8:$A$10</formula1>
    </dataValidation>
  </dataValidations>
  <hyperlinks>
    <hyperlink ref="A34" r:id="rId1" location="g00"/>
  </hyperlinks>
  <pageMargins left="0.25" right="0.25" top="0.75" bottom="0.75" header="0.3" footer="0.3"/>
  <pageSetup paperSize="5" scale="57"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2:T16"/>
  <sheetViews>
    <sheetView workbookViewId="0">
      <selection activeCell="B6" sqref="B6:S6"/>
    </sheetView>
  </sheetViews>
  <sheetFormatPr defaultRowHeight="15"/>
  <cols>
    <col min="2" max="2" width="11" bestFit="1" customWidth="1"/>
    <col min="4" max="4" width="12" bestFit="1" customWidth="1"/>
    <col min="5" max="20" width="13" customWidth="1"/>
  </cols>
  <sheetData>
    <row r="2" spans="1:20">
      <c r="A2">
        <v>1E-3</v>
      </c>
      <c r="B2" t="s">
        <v>392</v>
      </c>
    </row>
    <row r="3" spans="1:20">
      <c r="A3">
        <v>2E-3</v>
      </c>
      <c r="B3" t="s">
        <v>393</v>
      </c>
      <c r="C3" t="s">
        <v>53</v>
      </c>
      <c r="D3">
        <v>2014</v>
      </c>
      <c r="E3">
        <v>2015</v>
      </c>
      <c r="F3">
        <v>2016</v>
      </c>
      <c r="G3">
        <v>2017</v>
      </c>
      <c r="H3">
        <v>2018</v>
      </c>
      <c r="I3">
        <v>2019</v>
      </c>
      <c r="J3">
        <v>2020</v>
      </c>
      <c r="K3">
        <v>2021</v>
      </c>
      <c r="L3">
        <v>2022</v>
      </c>
      <c r="M3">
        <v>2023</v>
      </c>
      <c r="N3">
        <v>2024</v>
      </c>
      <c r="O3">
        <v>2025</v>
      </c>
      <c r="P3">
        <v>2026</v>
      </c>
      <c r="Q3">
        <v>2027</v>
      </c>
      <c r="R3">
        <v>2028</v>
      </c>
      <c r="S3">
        <v>2029</v>
      </c>
      <c r="T3">
        <v>2030</v>
      </c>
    </row>
    <row r="4" spans="1:20">
      <c r="A4">
        <v>2.65E-3</v>
      </c>
      <c r="B4" t="s">
        <v>834</v>
      </c>
      <c r="C4" s="1033">
        <f>'All Rev &amp; Projects'!B147</f>
        <v>1E-3</v>
      </c>
      <c r="D4">
        <f>(D7*$C$4+D8*C11*$C$4)/1000000</f>
        <v>108.63278689000001</v>
      </c>
      <c r="E4">
        <f>(E7*$C$4+E8*$C$11*$C$4)/1000000</f>
        <v>110.90103948026321</v>
      </c>
      <c r="F4">
        <f t="shared" ref="F4:T4" si="0">(F7*$C$4+F8*$C$11*$C$4)/1000000</f>
        <v>113.21665318461109</v>
      </c>
      <c r="G4">
        <f t="shared" si="0"/>
        <v>115.58061690310578</v>
      </c>
      <c r="H4">
        <f t="shared" si="0"/>
        <v>117.99394018404263</v>
      </c>
      <c r="I4">
        <f t="shared" si="0"/>
        <v>120.45765365508545</v>
      </c>
      <c r="J4">
        <f t="shared" si="0"/>
        <v>122.97280946340364</v>
      </c>
      <c r="K4">
        <f t="shared" si="0"/>
        <v>125.54048172499948</v>
      </c>
      <c r="L4">
        <f t="shared" si="0"/>
        <v>128.16176698341752</v>
      </c>
      <c r="M4">
        <f t="shared" si="0"/>
        <v>130.83778467803126</v>
      </c>
      <c r="N4">
        <f t="shared" si="0"/>
        <v>133.56967762210854</v>
      </c>
      <c r="O4">
        <f t="shared" si="0"/>
        <v>136.35861249085818</v>
      </c>
      <c r="P4">
        <f t="shared" si="0"/>
        <v>139.2057803196673</v>
      </c>
      <c r="Q4">
        <f t="shared" si="0"/>
        <v>142.11239701274195</v>
      </c>
      <c r="R4">
        <f t="shared" si="0"/>
        <v>145.07970386236801</v>
      </c>
      <c r="S4">
        <f t="shared" si="0"/>
        <v>148.10896807901423</v>
      </c>
      <c r="T4">
        <f t="shared" si="0"/>
        <v>151.2014833325041</v>
      </c>
    </row>
    <row r="5" spans="1:20">
      <c r="A5">
        <v>3.0000000000000001E-3</v>
      </c>
      <c r="B5" t="s">
        <v>394</v>
      </c>
    </row>
    <row r="6" spans="1:20">
      <c r="A6">
        <v>4.0000000000000001E-3</v>
      </c>
      <c r="B6" t="s">
        <v>395</v>
      </c>
      <c r="D6">
        <f>D3</f>
        <v>2014</v>
      </c>
      <c r="E6">
        <f>E3</f>
        <v>2015</v>
      </c>
      <c r="F6">
        <f>F3</f>
        <v>2016</v>
      </c>
      <c r="G6">
        <f t="shared" ref="G6:T6" si="1">G3</f>
        <v>2017</v>
      </c>
      <c r="H6">
        <f t="shared" si="1"/>
        <v>2018</v>
      </c>
      <c r="I6">
        <f t="shared" si="1"/>
        <v>2019</v>
      </c>
      <c r="J6">
        <f t="shared" si="1"/>
        <v>2020</v>
      </c>
      <c r="K6">
        <f t="shared" si="1"/>
        <v>2021</v>
      </c>
      <c r="L6">
        <f t="shared" si="1"/>
        <v>2022</v>
      </c>
      <c r="M6">
        <f t="shared" si="1"/>
        <v>2023</v>
      </c>
      <c r="N6">
        <f t="shared" si="1"/>
        <v>2024</v>
      </c>
      <c r="O6">
        <f t="shared" si="1"/>
        <v>2025</v>
      </c>
      <c r="P6">
        <f t="shared" si="1"/>
        <v>2026</v>
      </c>
      <c r="Q6">
        <f t="shared" si="1"/>
        <v>2027</v>
      </c>
      <c r="R6">
        <f t="shared" si="1"/>
        <v>2028</v>
      </c>
      <c r="S6">
        <f t="shared" si="1"/>
        <v>2029</v>
      </c>
      <c r="T6">
        <f t="shared" si="1"/>
        <v>2030</v>
      </c>
    </row>
    <row r="7" spans="1:20">
      <c r="A7">
        <v>5.0000000000000001E-3</v>
      </c>
      <c r="B7" t="s">
        <v>396</v>
      </c>
      <c r="C7" s="314" t="s">
        <v>350</v>
      </c>
      <c r="D7">
        <v>81243129000</v>
      </c>
      <c r="E7">
        <f>D7*(1+$C$15)</f>
        <v>82939485533.520004</v>
      </c>
      <c r="F7">
        <f t="shared" ref="F7:T8" si="2">E7*(1+$C$15)</f>
        <v>84671261991.4599</v>
      </c>
      <c r="G7">
        <f t="shared" si="2"/>
        <v>86439197941.841583</v>
      </c>
      <c r="H7">
        <f t="shared" si="2"/>
        <v>88244048394.867233</v>
      </c>
      <c r="I7">
        <f t="shared" si="2"/>
        <v>90086584125.352066</v>
      </c>
      <c r="J7">
        <f t="shared" si="2"/>
        <v>91967592001.88942</v>
      </c>
      <c r="K7">
        <f t="shared" si="2"/>
        <v>93887875322.88887</v>
      </c>
      <c r="L7">
        <f t="shared" si="2"/>
        <v>95848254159.630798</v>
      </c>
      <c r="M7">
        <f t="shared" si="2"/>
        <v>97849565706.483887</v>
      </c>
      <c r="N7">
        <f t="shared" si="2"/>
        <v>99892664638.435272</v>
      </c>
      <c r="O7">
        <f t="shared" si="2"/>
        <v>101978423476.0858</v>
      </c>
      <c r="P7">
        <f t="shared" si="2"/>
        <v>104107732958.26648</v>
      </c>
      <c r="Q7">
        <f t="shared" si="2"/>
        <v>106281502422.43509</v>
      </c>
      <c r="R7">
        <f t="shared" si="2"/>
        <v>108500660193.01553</v>
      </c>
      <c r="S7">
        <f t="shared" si="2"/>
        <v>110766153977.8457</v>
      </c>
      <c r="T7">
        <f t="shared" si="2"/>
        <v>113078951272.90312</v>
      </c>
    </row>
    <row r="8" spans="1:20">
      <c r="C8" s="314" t="s">
        <v>351</v>
      </c>
      <c r="D8">
        <v>27389657890</v>
      </c>
      <c r="E8">
        <f>D8*(1+$C$15)</f>
        <v>27961553946.743198</v>
      </c>
      <c r="F8">
        <f t="shared" si="2"/>
        <v>28545391193.151196</v>
      </c>
      <c r="G8">
        <f t="shared" si="2"/>
        <v>29141418961.264194</v>
      </c>
      <c r="H8">
        <f t="shared" si="2"/>
        <v>29749891789.175392</v>
      </c>
      <c r="I8">
        <f t="shared" si="2"/>
        <v>30371069529.733376</v>
      </c>
      <c r="J8">
        <f t="shared" si="2"/>
        <v>31005217461.51421</v>
      </c>
      <c r="K8">
        <f t="shared" si="2"/>
        <v>31652606402.110626</v>
      </c>
      <c r="L8">
        <f t="shared" si="2"/>
        <v>32313512823.786697</v>
      </c>
      <c r="M8">
        <f t="shared" si="2"/>
        <v>32988218971.547363</v>
      </c>
      <c r="N8">
        <f t="shared" si="2"/>
        <v>33677012983.673271</v>
      </c>
      <c r="O8">
        <f t="shared" si="2"/>
        <v>34380189014.772369</v>
      </c>
      <c r="P8">
        <f t="shared" si="2"/>
        <v>35098047361.400818</v>
      </c>
      <c r="Q8">
        <f t="shared" si="2"/>
        <v>35830894590.30687</v>
      </c>
      <c r="R8">
        <f t="shared" si="2"/>
        <v>36579043669.352478</v>
      </c>
      <c r="S8">
        <f t="shared" si="2"/>
        <v>37342814101.168556</v>
      </c>
      <c r="T8">
        <f t="shared" si="2"/>
        <v>38122532059.60096</v>
      </c>
    </row>
    <row r="10" spans="1:20">
      <c r="C10" t="s">
        <v>352</v>
      </c>
    </row>
    <row r="11" spans="1:20">
      <c r="C11">
        <v>1</v>
      </c>
    </row>
    <row r="14" spans="1:20">
      <c r="C14" t="s">
        <v>353</v>
      </c>
    </row>
    <row r="15" spans="1:20">
      <c r="B15" s="314"/>
      <c r="C15" s="152">
        <v>2.0879999999999999E-2</v>
      </c>
    </row>
    <row r="16" spans="1:20">
      <c r="B16" s="314"/>
      <c r="C16" s="152"/>
    </row>
  </sheetData>
  <sheetProtection password="CC29"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16"/>
  <sheetViews>
    <sheetView workbookViewId="0">
      <selection activeCell="B6" sqref="B6:S6"/>
    </sheetView>
  </sheetViews>
  <sheetFormatPr defaultRowHeight="15"/>
  <cols>
    <col min="1" max="1" width="16.28515625" customWidth="1"/>
    <col min="2" max="2" width="14.7109375" bestFit="1" customWidth="1"/>
    <col min="3" max="3" width="13.42578125" customWidth="1"/>
    <col min="4" max="4" width="12.28515625" customWidth="1"/>
    <col min="5" max="5" width="13.28515625" customWidth="1"/>
    <col min="6" max="6" width="15" customWidth="1"/>
    <col min="7" max="7" width="14.85546875" customWidth="1"/>
    <col min="8" max="8" width="12.42578125" customWidth="1"/>
    <col min="9" max="9" width="13.42578125" customWidth="1"/>
    <col min="10" max="10" width="13" customWidth="1"/>
    <col min="11" max="11" width="12.28515625" customWidth="1"/>
    <col min="12" max="12" width="12" customWidth="1"/>
    <col min="13" max="13" width="11.7109375" customWidth="1"/>
    <col min="14" max="14" width="11.85546875" customWidth="1"/>
    <col min="15" max="15" width="13.28515625" customWidth="1"/>
  </cols>
  <sheetData>
    <row r="1" spans="1:16">
      <c r="A1" t="s">
        <v>53</v>
      </c>
      <c r="B1">
        <f>B6</f>
        <v>2016</v>
      </c>
      <c r="C1">
        <f t="shared" ref="C1:P1" si="0">C6</f>
        <v>2017</v>
      </c>
      <c r="D1">
        <f t="shared" si="0"/>
        <v>2018</v>
      </c>
      <c r="E1">
        <f t="shared" si="0"/>
        <v>2019</v>
      </c>
      <c r="F1">
        <f t="shared" si="0"/>
        <v>2020</v>
      </c>
      <c r="G1">
        <f t="shared" si="0"/>
        <v>2021</v>
      </c>
      <c r="H1">
        <f t="shared" si="0"/>
        <v>2022</v>
      </c>
      <c r="I1">
        <f t="shared" si="0"/>
        <v>2023</v>
      </c>
      <c r="J1">
        <f t="shared" si="0"/>
        <v>2024</v>
      </c>
      <c r="K1">
        <f t="shared" si="0"/>
        <v>2025</v>
      </c>
      <c r="L1">
        <f t="shared" si="0"/>
        <v>2026</v>
      </c>
      <c r="M1">
        <f t="shared" si="0"/>
        <v>2027</v>
      </c>
      <c r="N1">
        <f t="shared" si="0"/>
        <v>2028</v>
      </c>
      <c r="O1">
        <f t="shared" si="0"/>
        <v>2029</v>
      </c>
      <c r="P1">
        <f t="shared" si="0"/>
        <v>2030</v>
      </c>
    </row>
    <row r="2" spans="1:16">
      <c r="A2">
        <f>'All Rev &amp; Projects'!B155</f>
        <v>25</v>
      </c>
      <c r="B2" s="273">
        <f>B7*$A$2/1000000</f>
        <v>0.20808000000000004</v>
      </c>
      <c r="C2" s="273">
        <f t="shared" ref="C2:P2" si="1">C7*$A$2/1000000</f>
        <v>0.2122416</v>
      </c>
      <c r="D2" s="273">
        <f t="shared" si="1"/>
        <v>0.21648643200000001</v>
      </c>
      <c r="E2" s="273">
        <f t="shared" si="1"/>
        <v>0.22081616063999998</v>
      </c>
      <c r="F2" s="273">
        <f t="shared" si="1"/>
        <v>0.22523248385279998</v>
      </c>
      <c r="G2" s="273">
        <f t="shared" si="1"/>
        <v>0.229737133529856</v>
      </c>
      <c r="H2" s="273">
        <f t="shared" si="1"/>
        <v>0.23433187620045315</v>
      </c>
      <c r="I2" s="273">
        <f t="shared" si="1"/>
        <v>0.23901851372446223</v>
      </c>
      <c r="J2" s="273">
        <f t="shared" si="1"/>
        <v>0.2437988839989515</v>
      </c>
      <c r="K2" s="273">
        <f t="shared" si="1"/>
        <v>0.24867486167893052</v>
      </c>
      <c r="L2" s="273">
        <f t="shared" si="1"/>
        <v>0.25364835891250914</v>
      </c>
      <c r="M2" s="273">
        <f t="shared" si="1"/>
        <v>0.25872132609075932</v>
      </c>
      <c r="N2" s="273">
        <f t="shared" si="1"/>
        <v>0.26389575261257453</v>
      </c>
      <c r="O2" s="273">
        <f t="shared" si="1"/>
        <v>0.26917366766482603</v>
      </c>
      <c r="P2" s="273">
        <f t="shared" si="1"/>
        <v>0.27455714101812262</v>
      </c>
    </row>
    <row r="5" spans="1:16">
      <c r="A5">
        <f>198575/25</f>
        <v>7943</v>
      </c>
      <c r="B5">
        <f>A5*1.02</f>
        <v>8101.8600000000006</v>
      </c>
    </row>
    <row r="6" spans="1:16">
      <c r="B6">
        <v>2016</v>
      </c>
      <c r="C6">
        <v>2017</v>
      </c>
      <c r="D6">
        <v>2018</v>
      </c>
      <c r="E6">
        <v>2019</v>
      </c>
      <c r="F6">
        <v>2020</v>
      </c>
      <c r="G6">
        <v>2021</v>
      </c>
      <c r="H6">
        <v>2022</v>
      </c>
      <c r="I6">
        <v>2023</v>
      </c>
      <c r="J6">
        <v>2024</v>
      </c>
      <c r="K6">
        <v>2025</v>
      </c>
      <c r="L6">
        <v>2026</v>
      </c>
      <c r="M6">
        <v>2027</v>
      </c>
      <c r="N6">
        <v>2028</v>
      </c>
      <c r="O6">
        <v>2029</v>
      </c>
      <c r="P6">
        <v>2030</v>
      </c>
    </row>
    <row r="7" spans="1:16">
      <c r="A7" s="29" t="s">
        <v>289</v>
      </c>
      <c r="B7" s="270">
        <f>B9*(1+$B$10)</f>
        <v>8323.2000000000007</v>
      </c>
      <c r="C7" s="112">
        <f>B7*(1+$B$10)</f>
        <v>8489.6640000000007</v>
      </c>
      <c r="D7" s="112">
        <f t="shared" ref="D7:P7" si="2">C7*(1+$B$10)</f>
        <v>8659.4572800000005</v>
      </c>
      <c r="E7" s="112">
        <f t="shared" si="2"/>
        <v>8832.6464255999999</v>
      </c>
      <c r="F7" s="112">
        <f t="shared" si="2"/>
        <v>9009.2993541119995</v>
      </c>
      <c r="G7" s="112">
        <f t="shared" si="2"/>
        <v>9189.4853411942404</v>
      </c>
      <c r="H7" s="112">
        <f t="shared" si="2"/>
        <v>9373.2750480181257</v>
      </c>
      <c r="I7" s="112">
        <f t="shared" si="2"/>
        <v>9560.7405489784887</v>
      </c>
      <c r="J7" s="112">
        <f t="shared" si="2"/>
        <v>9751.9553599580595</v>
      </c>
      <c r="K7" s="112">
        <f t="shared" si="2"/>
        <v>9946.9944671572212</v>
      </c>
      <c r="L7" s="112">
        <f t="shared" si="2"/>
        <v>10145.934356500366</v>
      </c>
      <c r="M7" s="112">
        <f t="shared" si="2"/>
        <v>10348.853043630374</v>
      </c>
      <c r="N7" s="112">
        <f t="shared" si="2"/>
        <v>10555.830104502982</v>
      </c>
      <c r="O7" s="112">
        <f t="shared" si="2"/>
        <v>10766.946706593042</v>
      </c>
      <c r="P7" s="112">
        <f t="shared" si="2"/>
        <v>10982.285640724904</v>
      </c>
    </row>
    <row r="8" spans="1:16">
      <c r="A8" s="29"/>
    </row>
    <row r="9" spans="1:16">
      <c r="A9" t="s">
        <v>290</v>
      </c>
      <c r="B9">
        <v>8160</v>
      </c>
      <c r="C9" s="271"/>
      <c r="D9" s="271"/>
      <c r="E9" s="271"/>
      <c r="F9" s="271"/>
      <c r="G9" s="271"/>
      <c r="H9" s="271"/>
      <c r="I9" s="271"/>
      <c r="J9" s="271"/>
      <c r="K9" s="271"/>
      <c r="L9" s="271"/>
      <c r="M9" s="271"/>
      <c r="N9" s="271"/>
      <c r="O9" s="271"/>
      <c r="P9" s="271"/>
    </row>
    <row r="10" spans="1:16">
      <c r="A10" t="s">
        <v>291</v>
      </c>
      <c r="B10" s="11">
        <v>0.02</v>
      </c>
      <c r="C10" s="271"/>
      <c r="D10" s="271"/>
      <c r="E10" s="271"/>
      <c r="F10" s="271"/>
      <c r="G10" s="271"/>
      <c r="H10" s="271"/>
      <c r="I10" s="271"/>
      <c r="J10" s="271"/>
      <c r="K10" s="271"/>
      <c r="L10" s="271"/>
      <c r="M10" s="271"/>
      <c r="N10" s="271"/>
      <c r="O10" s="271"/>
      <c r="P10" s="271"/>
    </row>
    <row r="11" spans="1:16">
      <c r="B11" s="271"/>
      <c r="C11" s="271"/>
      <c r="D11" s="271"/>
      <c r="E11" s="271"/>
      <c r="F11" s="271"/>
      <c r="G11" s="271"/>
      <c r="H11" s="271"/>
      <c r="I11" s="271"/>
      <c r="J11" s="271"/>
      <c r="K11" s="271"/>
      <c r="L11" s="271"/>
      <c r="M11" s="271"/>
      <c r="N11" s="271"/>
      <c r="O11" s="271"/>
      <c r="P11" s="271"/>
    </row>
    <row r="13" spans="1:16">
      <c r="A13" s="29"/>
    </row>
    <row r="14" spans="1:16">
      <c r="B14" s="271"/>
      <c r="C14" s="271"/>
      <c r="D14" s="271"/>
      <c r="E14" s="271"/>
      <c r="F14" s="271"/>
      <c r="G14" s="271"/>
      <c r="H14" s="271"/>
      <c r="I14" s="271"/>
      <c r="J14" s="271"/>
      <c r="K14" s="271"/>
      <c r="L14" s="271"/>
      <c r="M14" s="271"/>
      <c r="N14" s="271"/>
      <c r="O14" s="271"/>
      <c r="P14" s="271"/>
    </row>
    <row r="15" spans="1:16">
      <c r="B15" s="271"/>
      <c r="C15" s="271"/>
      <c r="D15" s="271"/>
      <c r="E15" s="271"/>
      <c r="F15" s="271"/>
      <c r="G15" s="271"/>
      <c r="H15" s="271"/>
      <c r="I15" s="271"/>
      <c r="J15" s="271"/>
      <c r="K15" s="271"/>
      <c r="L15" s="271"/>
      <c r="M15" s="271"/>
      <c r="N15" s="271"/>
      <c r="O15" s="271"/>
      <c r="P15" s="271"/>
    </row>
    <row r="16" spans="1:16">
      <c r="B16" s="271"/>
      <c r="C16" s="271"/>
      <c r="D16" s="271"/>
      <c r="E16" s="271"/>
      <c r="F16" s="271"/>
      <c r="G16" s="271"/>
      <c r="H16" s="271"/>
      <c r="I16" s="271"/>
      <c r="J16" s="271"/>
      <c r="K16" s="271"/>
      <c r="L16" s="271"/>
      <c r="M16" s="271"/>
      <c r="N16" s="271"/>
      <c r="O16" s="271"/>
      <c r="P16" s="271"/>
    </row>
  </sheetData>
  <sheetProtection password="CC29" sheet="1" objects="1" scenarios="1"/>
  <pageMargins left="0.7" right="0.7" top="0.75" bottom="0.75" header="0.3" footer="0.3"/>
  <pageSetup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2:Q25"/>
  <sheetViews>
    <sheetView workbookViewId="0">
      <selection activeCell="B6" sqref="B6:S6"/>
    </sheetView>
  </sheetViews>
  <sheetFormatPr defaultRowHeight="15"/>
  <cols>
    <col min="2" max="2" width="26.5703125" bestFit="1" customWidth="1"/>
    <col min="3" max="3" width="18" bestFit="1" customWidth="1"/>
    <col min="4" max="17" width="15.28515625" bestFit="1" customWidth="1"/>
  </cols>
  <sheetData>
    <row r="2" spans="2:17">
      <c r="B2" t="s">
        <v>53</v>
      </c>
      <c r="C2">
        <v>2016</v>
      </c>
      <c r="D2">
        <v>2017</v>
      </c>
      <c r="E2">
        <v>2018</v>
      </c>
      <c r="F2">
        <v>2019</v>
      </c>
      <c r="G2">
        <v>2020</v>
      </c>
      <c r="H2">
        <v>2021</v>
      </c>
      <c r="I2">
        <v>2022</v>
      </c>
      <c r="J2">
        <v>2023</v>
      </c>
      <c r="K2">
        <v>2024</v>
      </c>
      <c r="L2">
        <v>2025</v>
      </c>
      <c r="M2">
        <v>2026</v>
      </c>
      <c r="N2">
        <v>2027</v>
      </c>
      <c r="O2">
        <v>2028</v>
      </c>
      <c r="P2">
        <v>2029</v>
      </c>
      <c r="Q2">
        <v>2030</v>
      </c>
    </row>
    <row r="3" spans="2:17">
      <c r="B3" s="1">
        <f>'All Rev &amp; Projects'!B151</f>
        <v>0.01</v>
      </c>
      <c r="C3" s="2">
        <f>SUMPRODUCT($E$14:$E$18,C8:C12)*$B$3/1000000</f>
        <v>26.962298031113857</v>
      </c>
      <c r="D3" s="2">
        <f t="shared" ref="D3:Q3" si="0">SUMPRODUCT($E$14:$E$18,D8:D12)*$B$3/1000000</f>
        <v>27.568949736813913</v>
      </c>
      <c r="E3" s="2">
        <f t="shared" si="0"/>
        <v>28.189251105892225</v>
      </c>
      <c r="F3" s="2">
        <f t="shared" si="0"/>
        <v>28.823509255774798</v>
      </c>
      <c r="G3" s="2">
        <f t="shared" si="0"/>
        <v>29.472038214029734</v>
      </c>
      <c r="H3" s="2">
        <f t="shared" si="0"/>
        <v>30.135159073845401</v>
      </c>
      <c r="I3" s="2">
        <f t="shared" si="0"/>
        <v>30.813200153006921</v>
      </c>
      <c r="J3" s="2">
        <f t="shared" si="0"/>
        <v>31.506497156449576</v>
      </c>
      <c r="K3" s="2">
        <f t="shared" si="0"/>
        <v>32.215393342469689</v>
      </c>
      <c r="L3" s="2">
        <f t="shared" si="0"/>
        <v>32.940239692675249</v>
      </c>
      <c r="M3" s="2">
        <f t="shared" si="0"/>
        <v>33.681395085760442</v>
      </c>
      <c r="N3" s="2">
        <f t="shared" si="0"/>
        <v>34.439226475190054</v>
      </c>
      <c r="O3" s="2">
        <f t="shared" si="0"/>
        <v>35.214109070881825</v>
      </c>
      <c r="P3" s="2">
        <f t="shared" si="0"/>
        <v>36.006426524976668</v>
      </c>
      <c r="Q3" s="2">
        <f t="shared" si="0"/>
        <v>36.816571121788641</v>
      </c>
    </row>
    <row r="6" spans="2:17">
      <c r="B6" t="s">
        <v>294</v>
      </c>
    </row>
    <row r="7" spans="2:17">
      <c r="C7">
        <f>C2</f>
        <v>2016</v>
      </c>
      <c r="D7">
        <f t="shared" ref="D7:Q7" si="1">D2</f>
        <v>2017</v>
      </c>
      <c r="E7">
        <f t="shared" si="1"/>
        <v>2018</v>
      </c>
      <c r="F7">
        <f t="shared" si="1"/>
        <v>2019</v>
      </c>
      <c r="G7">
        <f t="shared" si="1"/>
        <v>2020</v>
      </c>
      <c r="H7">
        <f t="shared" si="1"/>
        <v>2021</v>
      </c>
      <c r="I7">
        <f t="shared" si="1"/>
        <v>2022</v>
      </c>
      <c r="J7">
        <f t="shared" si="1"/>
        <v>2023</v>
      </c>
      <c r="K7">
        <f t="shared" si="1"/>
        <v>2024</v>
      </c>
      <c r="L7">
        <f t="shared" si="1"/>
        <v>2025</v>
      </c>
      <c r="M7">
        <f t="shared" si="1"/>
        <v>2026</v>
      </c>
      <c r="N7">
        <f t="shared" si="1"/>
        <v>2027</v>
      </c>
      <c r="O7">
        <f t="shared" si="1"/>
        <v>2028</v>
      </c>
      <c r="P7">
        <f t="shared" si="1"/>
        <v>2029</v>
      </c>
      <c r="Q7">
        <f t="shared" si="1"/>
        <v>2030</v>
      </c>
    </row>
    <row r="8" spans="2:17">
      <c r="B8" t="s">
        <v>297</v>
      </c>
      <c r="C8" s="271">
        <f>C14</f>
        <v>2696229803.1113853</v>
      </c>
      <c r="D8" s="269">
        <f>C8*(1+$D14)</f>
        <v>2756894973.6813912</v>
      </c>
      <c r="E8" s="269">
        <f t="shared" ref="E8:Q8" si="2">D8*(1+$D14)</f>
        <v>2818925110.5892224</v>
      </c>
      <c r="F8" s="269">
        <f t="shared" si="2"/>
        <v>2882350925.5774798</v>
      </c>
      <c r="G8" s="269">
        <f t="shared" si="2"/>
        <v>2947203821.4029732</v>
      </c>
      <c r="H8" s="269">
        <f t="shared" si="2"/>
        <v>3013515907.3845401</v>
      </c>
      <c r="I8" s="269">
        <f t="shared" si="2"/>
        <v>3081320015.3006921</v>
      </c>
      <c r="J8" s="269">
        <f t="shared" si="2"/>
        <v>3150649715.6449575</v>
      </c>
      <c r="K8" s="269">
        <f t="shared" si="2"/>
        <v>3221539334.2469687</v>
      </c>
      <c r="L8" s="269">
        <f t="shared" si="2"/>
        <v>3294023969.2675252</v>
      </c>
      <c r="M8" s="269">
        <f t="shared" si="2"/>
        <v>3368139508.5760446</v>
      </c>
      <c r="N8" s="269">
        <f t="shared" si="2"/>
        <v>3443922647.5190053</v>
      </c>
      <c r="O8" s="269">
        <f t="shared" si="2"/>
        <v>3521410907.0881829</v>
      </c>
      <c r="P8" s="269">
        <f t="shared" si="2"/>
        <v>3600642652.4976668</v>
      </c>
      <c r="Q8" s="269">
        <f t="shared" si="2"/>
        <v>3681657112.178864</v>
      </c>
    </row>
    <row r="9" spans="2:17">
      <c r="B9" t="s">
        <v>298</v>
      </c>
      <c r="C9" s="271">
        <f>C15</f>
        <v>389854578.37922859</v>
      </c>
      <c r="D9" s="269">
        <f t="shared" ref="D9:Q12" si="3">C9*(1+$D15)</f>
        <v>398626306.39276123</v>
      </c>
      <c r="E9" s="269">
        <f t="shared" si="3"/>
        <v>407595398.28659832</v>
      </c>
      <c r="F9" s="269">
        <f t="shared" si="3"/>
        <v>416766294.74804676</v>
      </c>
      <c r="G9" s="269">
        <f t="shared" si="3"/>
        <v>426143536.37987781</v>
      </c>
      <c r="H9" s="269">
        <f t="shared" si="3"/>
        <v>435731765.94842505</v>
      </c>
      <c r="I9" s="269">
        <f t="shared" si="3"/>
        <v>445535730.68226463</v>
      </c>
      <c r="J9" s="269">
        <f t="shared" si="3"/>
        <v>455560284.62261558</v>
      </c>
      <c r="K9" s="269">
        <f t="shared" si="3"/>
        <v>465810391.02662438</v>
      </c>
      <c r="L9" s="269">
        <f t="shared" si="3"/>
        <v>476291124.82472342</v>
      </c>
      <c r="M9" s="269">
        <f t="shared" si="3"/>
        <v>487007675.13327968</v>
      </c>
      <c r="N9" s="269">
        <f t="shared" si="3"/>
        <v>497965347.82377845</v>
      </c>
      <c r="O9" s="269">
        <f t="shared" si="3"/>
        <v>509169568.14981347</v>
      </c>
      <c r="P9" s="269">
        <f t="shared" si="3"/>
        <v>520625883.43318427</v>
      </c>
      <c r="Q9" s="269">
        <f t="shared" si="3"/>
        <v>532339965.81043088</v>
      </c>
    </row>
    <row r="10" spans="2:17">
      <c r="B10" t="s">
        <v>300</v>
      </c>
      <c r="C10" s="271">
        <f>C16</f>
        <v>1868848.7779624749</v>
      </c>
      <c r="D10" s="269">
        <f t="shared" si="3"/>
        <v>1910897.8754666306</v>
      </c>
      <c r="E10" s="269">
        <f t="shared" si="3"/>
        <v>1953893.0776646298</v>
      </c>
      <c r="F10" s="269">
        <f t="shared" si="3"/>
        <v>1997855.6719120839</v>
      </c>
      <c r="G10" s="269">
        <f t="shared" si="3"/>
        <v>2042807.4245301057</v>
      </c>
      <c r="H10" s="269">
        <f t="shared" si="3"/>
        <v>2088770.5915820331</v>
      </c>
      <c r="I10" s="269">
        <f t="shared" si="3"/>
        <v>2135767.9298926289</v>
      </c>
      <c r="J10" s="269">
        <f t="shared" si="3"/>
        <v>2183822.7083152132</v>
      </c>
      <c r="K10" s="269">
        <f t="shared" si="3"/>
        <v>2232958.7192523056</v>
      </c>
      <c r="L10" s="269">
        <f t="shared" si="3"/>
        <v>2283200.2904354823</v>
      </c>
      <c r="M10" s="269">
        <f t="shared" si="3"/>
        <v>2334572.2969702804</v>
      </c>
      <c r="N10" s="269">
        <f t="shared" si="3"/>
        <v>2387100.1736521116</v>
      </c>
      <c r="O10" s="269">
        <f t="shared" si="3"/>
        <v>2440809.927559284</v>
      </c>
      <c r="P10" s="269">
        <f t="shared" si="3"/>
        <v>2495728.1509293676</v>
      </c>
      <c r="Q10" s="269">
        <f t="shared" si="3"/>
        <v>2551882.0343252784</v>
      </c>
    </row>
    <row r="11" spans="2:17">
      <c r="B11" t="s">
        <v>301</v>
      </c>
      <c r="C11" s="271">
        <f>C17</f>
        <v>183393026.32975739</v>
      </c>
      <c r="D11" s="269">
        <f t="shared" si="3"/>
        <v>187519369.42217693</v>
      </c>
      <c r="E11" s="269">
        <f t="shared" si="3"/>
        <v>191738555.23417589</v>
      </c>
      <c r="F11" s="269">
        <f t="shared" si="3"/>
        <v>196052672.72694483</v>
      </c>
      <c r="G11" s="269">
        <f t="shared" si="3"/>
        <v>200463857.8633011</v>
      </c>
      <c r="H11" s="269">
        <f t="shared" si="3"/>
        <v>204974294.66522536</v>
      </c>
      <c r="I11" s="269">
        <f t="shared" si="3"/>
        <v>209586216.29519293</v>
      </c>
      <c r="J11" s="269">
        <f t="shared" si="3"/>
        <v>214301906.16183475</v>
      </c>
      <c r="K11" s="269">
        <f t="shared" si="3"/>
        <v>219123699.05047601</v>
      </c>
      <c r="L11" s="269">
        <f t="shared" si="3"/>
        <v>224053982.27911171</v>
      </c>
      <c r="M11" s="269">
        <f t="shared" si="3"/>
        <v>229095196.88039172</v>
      </c>
      <c r="N11" s="269">
        <f t="shared" si="3"/>
        <v>234249838.81020051</v>
      </c>
      <c r="O11" s="269">
        <f t="shared" si="3"/>
        <v>239520460.18343002</v>
      </c>
      <c r="P11" s="269">
        <f t="shared" si="3"/>
        <v>244909670.53755718</v>
      </c>
      <c r="Q11" s="269">
        <f t="shared" si="3"/>
        <v>250420138.12465221</v>
      </c>
    </row>
    <row r="12" spans="2:17">
      <c r="B12" t="s">
        <v>302</v>
      </c>
      <c r="C12" s="271">
        <f>C18</f>
        <v>743931166.79333961</v>
      </c>
      <c r="D12" s="269">
        <f t="shared" si="3"/>
        <v>760669618.04618967</v>
      </c>
      <c r="E12" s="269">
        <f t="shared" si="3"/>
        <v>777784684.4522289</v>
      </c>
      <c r="F12" s="269">
        <f t="shared" si="3"/>
        <v>795284839.852404</v>
      </c>
      <c r="G12" s="269">
        <f t="shared" si="3"/>
        <v>813178748.74908304</v>
      </c>
      <c r="H12" s="269">
        <f t="shared" si="3"/>
        <v>831475270.59593737</v>
      </c>
      <c r="I12" s="269">
        <f t="shared" si="3"/>
        <v>850183464.18434596</v>
      </c>
      <c r="J12" s="269">
        <f t="shared" si="3"/>
        <v>869312592.12849367</v>
      </c>
      <c r="K12" s="269">
        <f t="shared" si="3"/>
        <v>888872125.45138478</v>
      </c>
      <c r="L12" s="269">
        <f t="shared" si="3"/>
        <v>908871748.27404094</v>
      </c>
      <c r="M12" s="269">
        <f t="shared" si="3"/>
        <v>929321362.61020684</v>
      </c>
      <c r="N12" s="269">
        <f t="shared" si="3"/>
        <v>950231093.26893651</v>
      </c>
      <c r="O12" s="269">
        <f t="shared" si="3"/>
        <v>971611292.86748755</v>
      </c>
      <c r="P12" s="269">
        <f t="shared" si="3"/>
        <v>993472546.95700598</v>
      </c>
      <c r="Q12" s="269">
        <f t="shared" si="3"/>
        <v>1015825679.2635386</v>
      </c>
    </row>
    <row r="13" spans="2:17">
      <c r="C13" t="s">
        <v>295</v>
      </c>
      <c r="D13" t="s">
        <v>296</v>
      </c>
      <c r="E13" t="s">
        <v>299</v>
      </c>
    </row>
    <row r="14" spans="2:17">
      <c r="B14" t="str">
        <f>B8</f>
        <v>Hospital</v>
      </c>
      <c r="C14">
        <f>C21*D21*E21</f>
        <v>2696229803.1113853</v>
      </c>
      <c r="D14" s="119">
        <v>2.2499999999999999E-2</v>
      </c>
      <c r="E14">
        <v>1</v>
      </c>
    </row>
    <row r="15" spans="2:17">
      <c r="B15" t="str">
        <f>B9</f>
        <v>Nursing Homes</v>
      </c>
      <c r="C15" s="274">
        <f>C22*D22*E22</f>
        <v>389854578.37922859</v>
      </c>
      <c r="D15" s="119">
        <v>2.2499999999999999E-2</v>
      </c>
      <c r="E15">
        <v>0</v>
      </c>
    </row>
    <row r="16" spans="2:17">
      <c r="B16" t="str">
        <f>B10</f>
        <v>ICF/MR-DD</v>
      </c>
      <c r="C16" s="274">
        <f>C23*D23*E23</f>
        <v>1868848.7779624749</v>
      </c>
      <c r="D16" s="119">
        <v>2.2499999999999999E-2</v>
      </c>
      <c r="E16">
        <v>0</v>
      </c>
    </row>
    <row r="17" spans="2:5">
      <c r="B17" t="str">
        <f>B11</f>
        <v>Home Health</v>
      </c>
      <c r="C17" s="274">
        <f>C24*D24*E24</f>
        <v>183393026.32975739</v>
      </c>
      <c r="D17" s="119">
        <v>2.2499999999999999E-2</v>
      </c>
      <c r="E17">
        <v>0</v>
      </c>
    </row>
    <row r="18" spans="2:5">
      <c r="B18" t="str">
        <f>B12</f>
        <v>Outpatient Pharmacy</v>
      </c>
      <c r="C18" s="274">
        <f>C25*D25*E25</f>
        <v>743931166.79333961</v>
      </c>
      <c r="D18" s="119">
        <v>2.2499999999999999E-2</v>
      </c>
      <c r="E18">
        <v>0</v>
      </c>
    </row>
    <row r="20" spans="2:5">
      <c r="B20" t="s">
        <v>303</v>
      </c>
      <c r="D20" t="s">
        <v>305</v>
      </c>
      <c r="E20" t="s">
        <v>304</v>
      </c>
    </row>
    <row r="21" spans="2:5">
      <c r="B21" t="str">
        <f>B14</f>
        <v>Hospital</v>
      </c>
      <c r="C21" s="270">
        <v>1945466414</v>
      </c>
      <c r="D21">
        <f>3879/3268</f>
        <v>1.1869645042839658</v>
      </c>
      <c r="E21">
        <f>731081/626138</f>
        <v>1.1676036273153843</v>
      </c>
    </row>
    <row r="22" spans="2:5">
      <c r="B22" t="str">
        <f>B15</f>
        <v>Nursing Homes</v>
      </c>
      <c r="C22" s="270">
        <v>279280500</v>
      </c>
      <c r="D22">
        <f>9128/7635</f>
        <v>1.1955468238375901</v>
      </c>
      <c r="E22">
        <f>731081/626138</f>
        <v>1.1676036273153843</v>
      </c>
    </row>
    <row r="23" spans="2:5">
      <c r="B23" t="str">
        <f>B16</f>
        <v>ICF/MR-DD</v>
      </c>
      <c r="C23" s="270">
        <v>1338789</v>
      </c>
      <c r="D23">
        <f>9128/7635</f>
        <v>1.1955468238375901</v>
      </c>
      <c r="E23">
        <f>731081/626138</f>
        <v>1.1676036273153843</v>
      </c>
    </row>
    <row r="24" spans="2:5">
      <c r="B24" t="str">
        <f>B17</f>
        <v>Home Health</v>
      </c>
      <c r="C24" s="270">
        <v>131377439</v>
      </c>
      <c r="D24">
        <f>9128/7635</f>
        <v>1.1955468238375901</v>
      </c>
      <c r="E24">
        <f>731081/626138</f>
        <v>1.1676036273153843</v>
      </c>
    </row>
    <row r="25" spans="2:5">
      <c r="B25" t="str">
        <f>B18</f>
        <v>Outpatient Pharmacy</v>
      </c>
      <c r="C25" s="270">
        <v>608501851</v>
      </c>
      <c r="D25">
        <f>1179/1126</f>
        <v>1.0470692717584369</v>
      </c>
      <c r="E25">
        <f>731081/626138</f>
        <v>1.1676036273153843</v>
      </c>
    </row>
  </sheetData>
  <sheetProtection password="CC29"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K95"/>
  <sheetViews>
    <sheetView workbookViewId="0">
      <selection activeCell="B34" sqref="B34"/>
    </sheetView>
  </sheetViews>
  <sheetFormatPr defaultRowHeight="15"/>
  <cols>
    <col min="1" max="1" width="0.85546875" customWidth="1"/>
    <col min="2" max="2" width="43.5703125" style="1059" customWidth="1"/>
    <col min="3" max="3" width="72.7109375" style="1065" customWidth="1"/>
  </cols>
  <sheetData>
    <row r="1" spans="2:3" ht="24" thickBot="1">
      <c r="B1" s="1171" t="s">
        <v>391</v>
      </c>
      <c r="C1" s="1171"/>
    </row>
    <row r="2" spans="2:3">
      <c r="B2" s="1172" t="s">
        <v>41</v>
      </c>
      <c r="C2" s="1173"/>
    </row>
    <row r="3" spans="2:3" ht="60">
      <c r="B3" s="1061" t="s">
        <v>388</v>
      </c>
      <c r="C3" s="1096" t="s">
        <v>915</v>
      </c>
    </row>
    <row r="4" spans="2:3" ht="45">
      <c r="B4" s="1100" t="s">
        <v>916</v>
      </c>
      <c r="C4" s="1091" t="s">
        <v>896</v>
      </c>
    </row>
    <row r="5" spans="2:3" ht="165">
      <c r="B5" s="1061" t="s">
        <v>848</v>
      </c>
      <c r="C5" s="1091" t="s">
        <v>917</v>
      </c>
    </row>
    <row r="6" spans="2:3" ht="30">
      <c r="B6" s="1097" t="s">
        <v>849</v>
      </c>
      <c r="C6" s="1095" t="s">
        <v>918</v>
      </c>
    </row>
    <row r="7" spans="2:3" ht="45">
      <c r="B7" s="1061" t="s">
        <v>419</v>
      </c>
      <c r="C7" s="1096" t="s">
        <v>919</v>
      </c>
    </row>
    <row r="8" spans="2:3" ht="30">
      <c r="B8" s="1061" t="s">
        <v>741</v>
      </c>
      <c r="C8" s="1096" t="s">
        <v>920</v>
      </c>
    </row>
    <row r="9" spans="2:3" ht="60">
      <c r="B9" s="1061" t="s">
        <v>747</v>
      </c>
      <c r="C9" s="1096" t="s">
        <v>922</v>
      </c>
    </row>
    <row r="10" spans="2:3" ht="120">
      <c r="B10" s="1061" t="s">
        <v>215</v>
      </c>
      <c r="C10" s="1096" t="s">
        <v>931</v>
      </c>
    </row>
    <row r="11" spans="2:3" ht="30">
      <c r="B11" s="1061" t="s">
        <v>459</v>
      </c>
      <c r="C11" s="1096" t="s">
        <v>925</v>
      </c>
    </row>
    <row r="12" spans="2:3" ht="75.75" thickBot="1">
      <c r="B12" s="1119" t="s">
        <v>535</v>
      </c>
      <c r="C12" s="1094" t="s">
        <v>921</v>
      </c>
    </row>
    <row r="13" spans="2:3" ht="15.75" thickBot="1"/>
    <row r="14" spans="2:3">
      <c r="B14" s="1172" t="s">
        <v>54</v>
      </c>
      <c r="C14" s="1173"/>
    </row>
    <row r="15" spans="2:3">
      <c r="B15" s="1061" t="s">
        <v>58</v>
      </c>
      <c r="C15" s="1062"/>
    </row>
    <row r="16" spans="2:3" ht="75">
      <c r="B16" s="1097" t="s">
        <v>847</v>
      </c>
      <c r="C16" s="1095" t="s">
        <v>930</v>
      </c>
    </row>
    <row r="17" spans="2:11" ht="90.75" thickBot="1">
      <c r="B17" s="1097" t="s">
        <v>409</v>
      </c>
      <c r="C17" s="1098" t="s">
        <v>913</v>
      </c>
    </row>
    <row r="18" spans="2:11" ht="60">
      <c r="B18" s="1097" t="s">
        <v>376</v>
      </c>
      <c r="C18" s="1117" t="s">
        <v>912</v>
      </c>
    </row>
    <row r="19" spans="2:11" ht="75">
      <c r="B19" s="1097" t="s">
        <v>389</v>
      </c>
      <c r="C19" s="1118" t="s">
        <v>914</v>
      </c>
    </row>
    <row r="20" spans="2:11" ht="75">
      <c r="B20" s="1097" t="s">
        <v>216</v>
      </c>
      <c r="C20" s="1099" t="s">
        <v>911</v>
      </c>
    </row>
    <row r="21" spans="2:11" ht="105.75" thickBot="1">
      <c r="B21" s="1122" t="s">
        <v>536</v>
      </c>
      <c r="C21" s="1114" t="s">
        <v>926</v>
      </c>
    </row>
    <row r="22" spans="2:11" ht="15.75" thickBot="1"/>
    <row r="23" spans="2:11">
      <c r="B23" s="1172" t="s">
        <v>287</v>
      </c>
      <c r="C23" s="1173"/>
    </row>
    <row r="24" spans="2:11" ht="45">
      <c r="B24" s="1126" t="s">
        <v>537</v>
      </c>
      <c r="C24" s="1092" t="s">
        <v>900</v>
      </c>
    </row>
    <row r="25" spans="2:11" ht="45" customHeight="1">
      <c r="B25" s="1127" t="s">
        <v>250</v>
      </c>
      <c r="C25" s="1092"/>
      <c r="D25" s="1174" t="s">
        <v>910</v>
      </c>
      <c r="E25" s="1174"/>
      <c r="F25" s="1174"/>
      <c r="G25" s="1174"/>
      <c r="H25" s="1174"/>
      <c r="I25" s="1174"/>
      <c r="J25" s="1174"/>
      <c r="K25" s="1174"/>
    </row>
    <row r="26" spans="2:11" ht="15" customHeight="1">
      <c r="B26" s="1125" t="s">
        <v>249</v>
      </c>
      <c r="C26" s="1092" t="s">
        <v>903</v>
      </c>
      <c r="D26" s="1174"/>
      <c r="E26" s="1174"/>
      <c r="F26" s="1174"/>
      <c r="G26" s="1174"/>
      <c r="H26" s="1174"/>
      <c r="I26" s="1174"/>
      <c r="J26" s="1174"/>
      <c r="K26" s="1174"/>
    </row>
    <row r="27" spans="2:11" ht="45">
      <c r="B27" s="1124" t="s">
        <v>284</v>
      </c>
      <c r="C27" s="1092" t="s">
        <v>904</v>
      </c>
      <c r="D27" s="1174"/>
      <c r="E27" s="1174"/>
      <c r="F27" s="1174"/>
      <c r="G27" s="1174"/>
      <c r="H27" s="1174"/>
      <c r="I27" s="1174"/>
      <c r="J27" s="1174"/>
      <c r="K27" s="1174"/>
    </row>
    <row r="28" spans="2:11">
      <c r="B28" s="1066" t="s">
        <v>244</v>
      </c>
      <c r="C28" s="1092"/>
      <c r="D28" s="1174"/>
      <c r="E28" s="1174"/>
      <c r="F28" s="1174"/>
      <c r="G28" s="1174"/>
      <c r="H28" s="1174"/>
      <c r="I28" s="1174"/>
      <c r="J28" s="1174"/>
      <c r="K28" s="1174"/>
    </row>
    <row r="29" spans="2:11" ht="105">
      <c r="B29" s="1125" t="s">
        <v>243</v>
      </c>
      <c r="C29" s="1116" t="s">
        <v>905</v>
      </c>
    </row>
    <row r="30" spans="2:11" ht="90">
      <c r="B30" s="1124" t="s">
        <v>284</v>
      </c>
      <c r="C30" s="1116" t="s">
        <v>906</v>
      </c>
    </row>
    <row r="31" spans="2:11" ht="60">
      <c r="B31" s="1124" t="s">
        <v>285</v>
      </c>
      <c r="C31" s="1116" t="s">
        <v>907</v>
      </c>
    </row>
    <row r="32" spans="2:11" ht="30">
      <c r="B32" s="1125" t="s">
        <v>538</v>
      </c>
      <c r="C32" s="1092" t="s">
        <v>901</v>
      </c>
    </row>
    <row r="33" spans="2:3">
      <c r="B33" s="1060" t="s">
        <v>250</v>
      </c>
      <c r="C33" s="1092"/>
    </row>
    <row r="34" spans="2:3" ht="60">
      <c r="B34" s="1124" t="s">
        <v>275</v>
      </c>
      <c r="C34" s="1116" t="s">
        <v>908</v>
      </c>
    </row>
    <row r="35" spans="2:3" ht="90">
      <c r="B35" s="1124" t="s">
        <v>242</v>
      </c>
      <c r="C35" s="1116" t="s">
        <v>909</v>
      </c>
    </row>
    <row r="36" spans="2:3">
      <c r="B36" s="1066" t="s">
        <v>244</v>
      </c>
      <c r="C36" s="1092"/>
    </row>
    <row r="37" spans="2:3" ht="108" customHeight="1">
      <c r="B37" s="1125" t="s">
        <v>243</v>
      </c>
      <c r="C37" s="1092" t="s">
        <v>902</v>
      </c>
    </row>
    <row r="38" spans="2:3" ht="90.75" thickBot="1">
      <c r="B38" s="1128" t="s">
        <v>242</v>
      </c>
      <c r="C38" s="1093" t="s">
        <v>909</v>
      </c>
    </row>
    <row r="39" spans="2:3" ht="15.75" thickBot="1"/>
    <row r="40" spans="2:3">
      <c r="B40" s="1172" t="s">
        <v>377</v>
      </c>
      <c r="C40" s="1173"/>
    </row>
    <row r="41" spans="2:3" ht="90.75" thickBot="1">
      <c r="B41" s="1097" t="s">
        <v>942</v>
      </c>
      <c r="C41" s="1114" t="s">
        <v>948</v>
      </c>
    </row>
    <row r="42" spans="2:3" ht="105.75" thickBot="1">
      <c r="B42" s="1122" t="s">
        <v>44</v>
      </c>
      <c r="C42" s="1114" t="s">
        <v>877</v>
      </c>
    </row>
    <row r="43" spans="2:3" ht="15.75" thickBot="1"/>
    <row r="44" spans="2:3">
      <c r="B44" s="1172" t="s">
        <v>423</v>
      </c>
      <c r="C44" s="1173"/>
    </row>
    <row r="45" spans="2:3" ht="105.75" thickBot="1">
      <c r="B45" s="1122" t="s">
        <v>424</v>
      </c>
      <c r="C45" s="1114" t="s">
        <v>878</v>
      </c>
    </row>
    <row r="46" spans="2:3" ht="15.75" thickBot="1"/>
    <row r="47" spans="2:3">
      <c r="B47" s="1172" t="s">
        <v>426</v>
      </c>
      <c r="C47" s="1173"/>
    </row>
    <row r="48" spans="2:3" ht="90.75" thickBot="1">
      <c r="B48" s="1122" t="s">
        <v>428</v>
      </c>
      <c r="C48" s="1115" t="s">
        <v>879</v>
      </c>
    </row>
    <row r="50" spans="2:3" ht="15.75" thickBot="1"/>
    <row r="51" spans="2:3">
      <c r="B51" s="1172" t="s">
        <v>46</v>
      </c>
      <c r="C51" s="1173"/>
    </row>
    <row r="52" spans="2:3" ht="105">
      <c r="B52" s="1123" t="s">
        <v>943</v>
      </c>
      <c r="C52" s="1095" t="s">
        <v>880</v>
      </c>
    </row>
    <row r="53" spans="2:3" ht="120">
      <c r="B53" s="1123" t="s">
        <v>676</v>
      </c>
      <c r="C53" s="1095" t="s">
        <v>881</v>
      </c>
    </row>
    <row r="54" spans="2:3" ht="75.75" thickBot="1">
      <c r="B54" s="1122" t="s">
        <v>835</v>
      </c>
      <c r="C54" s="1114" t="s">
        <v>944</v>
      </c>
    </row>
    <row r="55" spans="2:3" ht="15.75" thickBot="1"/>
    <row r="56" spans="2:3">
      <c r="B56" s="1172" t="s">
        <v>48</v>
      </c>
      <c r="C56" s="1173"/>
    </row>
    <row r="57" spans="2:3" ht="90">
      <c r="B57" s="1097" t="s">
        <v>49</v>
      </c>
      <c r="C57" s="1095" t="s">
        <v>882</v>
      </c>
    </row>
    <row r="58" spans="2:3" ht="75">
      <c r="B58" s="1097" t="s">
        <v>677</v>
      </c>
      <c r="C58" s="1095" t="s">
        <v>883</v>
      </c>
    </row>
    <row r="59" spans="2:3" ht="45">
      <c r="B59" s="1097" t="s">
        <v>364</v>
      </c>
      <c r="C59" s="1095" t="s">
        <v>884</v>
      </c>
    </row>
    <row r="60" spans="2:3" ht="105">
      <c r="B60" s="1097" t="s">
        <v>367</v>
      </c>
      <c r="C60" s="1095" t="s">
        <v>885</v>
      </c>
    </row>
    <row r="61" spans="2:3" ht="150.75" thickBot="1">
      <c r="B61" s="1122" t="s">
        <v>366</v>
      </c>
      <c r="C61" s="1114" t="s">
        <v>886</v>
      </c>
    </row>
    <row r="62" spans="2:3" ht="15.75" thickBot="1"/>
    <row r="63" spans="2:3">
      <c r="B63" s="1172" t="s">
        <v>422</v>
      </c>
      <c r="C63" s="1173"/>
    </row>
    <row r="64" spans="2:3" ht="75">
      <c r="B64" s="1097" t="s">
        <v>420</v>
      </c>
      <c r="C64" s="1120" t="s">
        <v>887</v>
      </c>
    </row>
    <row r="65" spans="2:3" ht="120.75" thickBot="1">
      <c r="B65" s="1063" t="s">
        <v>927</v>
      </c>
      <c r="C65" s="1121" t="s">
        <v>937</v>
      </c>
    </row>
    <row r="66" spans="2:3" ht="15.75" thickBot="1"/>
    <row r="67" spans="2:3">
      <c r="B67" s="1172" t="s">
        <v>51</v>
      </c>
      <c r="C67" s="1173"/>
    </row>
    <row r="68" spans="2:3">
      <c r="B68" s="1097" t="s">
        <v>52</v>
      </c>
      <c r="C68" s="1062" t="s">
        <v>888</v>
      </c>
    </row>
    <row r="69" spans="2:3" ht="60.75" thickBot="1">
      <c r="B69" s="1122" t="s">
        <v>797</v>
      </c>
      <c r="C69" s="1114" t="s">
        <v>889</v>
      </c>
    </row>
    <row r="70" spans="2:3" ht="15.75" thickBot="1"/>
    <row r="71" spans="2:3">
      <c r="B71" s="1172" t="s">
        <v>55</v>
      </c>
      <c r="C71" s="1173"/>
    </row>
    <row r="72" spans="2:3" ht="90.75" thickBot="1">
      <c r="B72" s="1122" t="s">
        <v>55</v>
      </c>
      <c r="C72" s="1114" t="s">
        <v>890</v>
      </c>
    </row>
    <row r="73" spans="2:3" ht="15.75" thickBot="1"/>
    <row r="74" spans="2:3">
      <c r="B74" s="1172" t="s">
        <v>56</v>
      </c>
      <c r="C74" s="1173"/>
    </row>
    <row r="75" spans="2:3" ht="120.75" thickBot="1">
      <c r="B75" s="1122" t="s">
        <v>56</v>
      </c>
      <c r="C75" s="1064" t="s">
        <v>898</v>
      </c>
    </row>
    <row r="76" spans="2:3" ht="15.75" thickBot="1"/>
    <row r="77" spans="2:3">
      <c r="B77" s="1172" t="s">
        <v>57</v>
      </c>
      <c r="C77" s="1173"/>
    </row>
    <row r="78" spans="2:3" ht="45.75" thickBot="1">
      <c r="B78" s="1122" t="s">
        <v>292</v>
      </c>
      <c r="C78" s="1064" t="s">
        <v>929</v>
      </c>
    </row>
    <row r="79" spans="2:3" ht="15.75" thickBot="1"/>
    <row r="80" spans="2:3">
      <c r="B80" s="1172" t="s">
        <v>816</v>
      </c>
      <c r="C80" s="1173"/>
    </row>
    <row r="81" spans="2:3" ht="90">
      <c r="B81" s="1097" t="s">
        <v>894</v>
      </c>
      <c r="C81" s="1095" t="s">
        <v>891</v>
      </c>
    </row>
    <row r="82" spans="2:3" ht="90">
      <c r="B82" s="1097" t="s">
        <v>895</v>
      </c>
      <c r="C82" s="1095" t="s">
        <v>892</v>
      </c>
    </row>
    <row r="83" spans="2:3" ht="90">
      <c r="B83" s="1097" t="s">
        <v>846</v>
      </c>
      <c r="C83" s="1095" t="s">
        <v>893</v>
      </c>
    </row>
    <row r="84" spans="2:3" ht="90">
      <c r="B84" s="1097" t="s">
        <v>842</v>
      </c>
      <c r="C84" s="1095" t="s">
        <v>947</v>
      </c>
    </row>
    <row r="85" spans="2:3" ht="105.75" thickBot="1">
      <c r="B85" s="1122" t="s">
        <v>824</v>
      </c>
      <c r="C85" s="1114" t="s">
        <v>945</v>
      </c>
    </row>
    <row r="86" spans="2:3" ht="15.75" thickBot="1"/>
    <row r="87" spans="2:3">
      <c r="B87" s="1172" t="s">
        <v>669</v>
      </c>
      <c r="C87" s="1173"/>
    </row>
    <row r="88" spans="2:3" ht="30.75" thickBot="1">
      <c r="B88" s="1129" t="s">
        <v>836</v>
      </c>
      <c r="C88" s="1064" t="s">
        <v>936</v>
      </c>
    </row>
    <row r="89" spans="2:3" ht="15.75" thickBot="1"/>
    <row r="90" spans="2:3">
      <c r="B90" s="1172" t="s">
        <v>387</v>
      </c>
      <c r="C90" s="1173"/>
    </row>
    <row r="91" spans="2:3" ht="101.25" customHeight="1">
      <c r="B91" s="1097" t="s">
        <v>928</v>
      </c>
      <c r="C91" s="1095" t="s">
        <v>935</v>
      </c>
    </row>
    <row r="92" spans="2:3" ht="45">
      <c r="B92" s="1097" t="s">
        <v>539</v>
      </c>
      <c r="C92" s="1095" t="s">
        <v>923</v>
      </c>
    </row>
    <row r="93" spans="2:3" ht="30">
      <c r="B93" s="1097" t="s">
        <v>27</v>
      </c>
      <c r="C93" s="1095" t="s">
        <v>924</v>
      </c>
    </row>
    <row r="94" spans="2:3" ht="30">
      <c r="B94" s="1097" t="s">
        <v>821</v>
      </c>
      <c r="C94" s="1095" t="s">
        <v>924</v>
      </c>
    </row>
    <row r="95" spans="2:3" ht="45.75" thickBot="1">
      <c r="B95" s="1122" t="s">
        <v>828</v>
      </c>
      <c r="C95" s="1114" t="s">
        <v>946</v>
      </c>
    </row>
  </sheetData>
  <sheetProtection password="CC29" sheet="1" objects="1" scenarios="1" selectLockedCells="1" selectUnlockedCells="1"/>
  <mergeCells count="18">
    <mergeCell ref="D25:K28"/>
    <mergeCell ref="B71:C71"/>
    <mergeCell ref="B67:C67"/>
    <mergeCell ref="B63:C63"/>
    <mergeCell ref="B56:C56"/>
    <mergeCell ref="B51:C51"/>
    <mergeCell ref="B47:C47"/>
    <mergeCell ref="B44:C44"/>
    <mergeCell ref="B90:C90"/>
    <mergeCell ref="B87:C87"/>
    <mergeCell ref="B80:C80"/>
    <mergeCell ref="B77:C77"/>
    <mergeCell ref="B74:C74"/>
    <mergeCell ref="B1:C1"/>
    <mergeCell ref="B2:C2"/>
    <mergeCell ref="B40:C40"/>
    <mergeCell ref="B23:C23"/>
    <mergeCell ref="B14:C14"/>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41"/>
  <sheetViews>
    <sheetView topLeftCell="A7" workbookViewId="0">
      <selection activeCell="B6" sqref="B6:S6"/>
    </sheetView>
  </sheetViews>
  <sheetFormatPr defaultRowHeight="15"/>
  <cols>
    <col min="1" max="1" width="17.5703125" bestFit="1" customWidth="1"/>
    <col min="2" max="2" width="16.85546875" bestFit="1" customWidth="1"/>
    <col min="3" max="3" width="11.42578125" customWidth="1"/>
    <col min="4" max="8" width="13.42578125" bestFit="1" customWidth="1"/>
    <col min="9" max="11" width="13.28515625" bestFit="1" customWidth="1"/>
    <col min="12" max="13" width="13.42578125" bestFit="1" customWidth="1"/>
    <col min="14" max="18" width="13.28515625" bestFit="1" customWidth="1"/>
    <col min="19" max="19" width="13.42578125" bestFit="1" customWidth="1"/>
  </cols>
  <sheetData>
    <row r="1" spans="1:19">
      <c r="C1">
        <v>2014</v>
      </c>
      <c r="D1">
        <f>C1+1</f>
        <v>2015</v>
      </c>
      <c r="E1">
        <f t="shared" ref="E1:L1" si="0">D1+1</f>
        <v>2016</v>
      </c>
      <c r="F1">
        <f t="shared" si="0"/>
        <v>2017</v>
      </c>
      <c r="G1">
        <f t="shared" si="0"/>
        <v>2018</v>
      </c>
      <c r="H1">
        <f t="shared" si="0"/>
        <v>2019</v>
      </c>
      <c r="I1">
        <f t="shared" si="0"/>
        <v>2020</v>
      </c>
      <c r="J1">
        <f t="shared" si="0"/>
        <v>2021</v>
      </c>
      <c r="K1">
        <f t="shared" si="0"/>
        <v>2022</v>
      </c>
      <c r="L1">
        <f t="shared" si="0"/>
        <v>2023</v>
      </c>
      <c r="M1">
        <f>L1+1</f>
        <v>2024</v>
      </c>
      <c r="N1">
        <f t="shared" ref="N1:O1" si="1">M1+1</f>
        <v>2025</v>
      </c>
      <c r="O1">
        <f t="shared" si="1"/>
        <v>2026</v>
      </c>
      <c r="P1">
        <f>O1+1</f>
        <v>2027</v>
      </c>
      <c r="Q1">
        <f t="shared" ref="Q1:R1" si="2">P1+1</f>
        <v>2028</v>
      </c>
      <c r="R1">
        <f t="shared" si="2"/>
        <v>2029</v>
      </c>
      <c r="S1">
        <f>R1+1</f>
        <v>2030</v>
      </c>
    </row>
    <row r="2" spans="1:19">
      <c r="A2" t="s">
        <v>831</v>
      </c>
      <c r="B2">
        <f>'All Rev &amp; Projects'!B161</f>
        <v>0.01</v>
      </c>
      <c r="C2">
        <f>C10*$B$2/1000000</f>
        <v>5.5254899499999999</v>
      </c>
      <c r="D2">
        <f t="shared" ref="D2:S2" si="3">D10*$B$2/1000000</f>
        <v>5.4543782748039433</v>
      </c>
      <c r="E2">
        <f t="shared" si="3"/>
        <v>5.0984127809776369</v>
      </c>
      <c r="F2">
        <f t="shared" si="3"/>
        <v>4.8992462750932697</v>
      </c>
      <c r="G2">
        <f t="shared" si="3"/>
        <v>4.7078600919819387</v>
      </c>
      <c r="H2">
        <f t="shared" si="3"/>
        <v>4.5239502978964348</v>
      </c>
      <c r="I2">
        <f t="shared" si="3"/>
        <v>4.3429922859805767</v>
      </c>
      <c r="J2">
        <f t="shared" si="3"/>
        <v>4.1692725945413533</v>
      </c>
      <c r="K2">
        <f t="shared" si="3"/>
        <v>4.0025016907596989</v>
      </c>
      <c r="L2">
        <f t="shared" si="3"/>
        <v>3.8424016231293106</v>
      </c>
      <c r="M2">
        <f t="shared" si="3"/>
        <v>3.6887055582041381</v>
      </c>
      <c r="N2">
        <f t="shared" si="3"/>
        <v>3.5411573358759725</v>
      </c>
      <c r="O2">
        <f t="shared" si="3"/>
        <v>3.3995110424409338</v>
      </c>
      <c r="P2">
        <f t="shared" si="3"/>
        <v>3.2635306007432963</v>
      </c>
      <c r="Q2">
        <f t="shared" si="3"/>
        <v>3.1329893767135646</v>
      </c>
      <c r="R2">
        <f t="shared" si="3"/>
        <v>3.0076698016450214</v>
      </c>
      <c r="S2">
        <f t="shared" si="3"/>
        <v>2.8873630095792202</v>
      </c>
    </row>
    <row r="3" spans="1:19">
      <c r="A3" t="s">
        <v>832</v>
      </c>
      <c r="B3" s="1">
        <f>'All Rev &amp; Projects'!B163</f>
        <v>0.05</v>
      </c>
      <c r="C3">
        <f>C11*$B$3/1000000</f>
        <v>0.87949449999999996</v>
      </c>
      <c r="D3">
        <f t="shared" ref="D3:S3" si="4">D11*$B$3/1000000</f>
        <v>0.90233211840792582</v>
      </c>
      <c r="E3">
        <f t="shared" si="4"/>
        <v>0.99305516649999992</v>
      </c>
      <c r="F3">
        <f t="shared" si="4"/>
        <v>1.0347990335000001</v>
      </c>
      <c r="G3">
        <f t="shared" si="4"/>
        <v>1.0765429005</v>
      </c>
      <c r="H3">
        <f t="shared" si="4"/>
        <v>1.1182867675000001</v>
      </c>
      <c r="I3">
        <f t="shared" si="4"/>
        <v>1.160030633417285</v>
      </c>
      <c r="J3">
        <f t="shared" si="4"/>
        <v>1.2017745004175402</v>
      </c>
      <c r="K3">
        <f t="shared" si="4"/>
        <v>1.2435183674177952</v>
      </c>
      <c r="L3">
        <f t="shared" si="4"/>
        <v>1.2852622344180502</v>
      </c>
      <c r="M3">
        <f t="shared" si="4"/>
        <v>1.3270061014183101</v>
      </c>
      <c r="N3">
        <f t="shared" si="4"/>
        <v>1.3687499684185651</v>
      </c>
      <c r="O3">
        <f t="shared" si="4"/>
        <v>1.4104938354188201</v>
      </c>
      <c r="P3">
        <f t="shared" si="4"/>
        <v>1.4522377024190751</v>
      </c>
      <c r="Q3">
        <f t="shared" si="4"/>
        <v>1.4939815694193299</v>
      </c>
      <c r="R3">
        <f t="shared" si="4"/>
        <v>1.5357254364195903</v>
      </c>
      <c r="S3">
        <f t="shared" si="4"/>
        <v>1.5774693034198453</v>
      </c>
    </row>
    <row r="4" spans="1:19">
      <c r="A4" t="s">
        <v>840</v>
      </c>
      <c r="B4" s="1">
        <f>0.75+B3*N('All Rev &amp; Projects'!A162)</f>
        <v>0.75</v>
      </c>
      <c r="C4" s="1034">
        <f>C12*$B$4/1000000</f>
        <v>1.3183800940438872</v>
      </c>
      <c r="D4" s="1034">
        <f t="shared" ref="D4:S4" si="5">D12*$B$4/1000000</f>
        <v>1.637428076802508</v>
      </c>
      <c r="E4" s="1034">
        <f t="shared" si="5"/>
        <v>2.0336856713887146</v>
      </c>
      <c r="F4" s="1034">
        <f t="shared" si="5"/>
        <v>2.5258376038647836</v>
      </c>
      <c r="G4" s="1034">
        <f t="shared" si="5"/>
        <v>3.1370903040000608</v>
      </c>
      <c r="H4" s="1034">
        <f t="shared" si="5"/>
        <v>3.6058447184163023</v>
      </c>
      <c r="I4" s="1034">
        <f t="shared" si="5"/>
        <v>3.9653207599717573</v>
      </c>
      <c r="J4" s="1034">
        <f t="shared" si="5"/>
        <v>4.2409939493395967</v>
      </c>
      <c r="K4" s="1034">
        <f t="shared" si="5"/>
        <v>4.4524008264360591</v>
      </c>
      <c r="L4" s="1034">
        <f t="shared" si="5"/>
        <v>4.6145234753094071</v>
      </c>
      <c r="M4" s="1034">
        <f t="shared" si="5"/>
        <v>4.7388512816641573</v>
      </c>
      <c r="N4" s="1034">
        <f t="shared" si="5"/>
        <v>4.8341951681624566</v>
      </c>
      <c r="O4" s="1034">
        <f t="shared" si="5"/>
        <v>4.9073120111208404</v>
      </c>
      <c r="P4" s="1034">
        <f t="shared" si="5"/>
        <v>4.9633834900645502</v>
      </c>
      <c r="Q4" s="1034">
        <f t="shared" si="5"/>
        <v>5.0063833054795071</v>
      </c>
      <c r="R4" s="1034">
        <f t="shared" si="5"/>
        <v>5.0393587889258527</v>
      </c>
      <c r="S4" s="1034">
        <f t="shared" si="5"/>
        <v>5.0646468627937677</v>
      </c>
    </row>
    <row r="5" spans="1:19">
      <c r="A5" t="s">
        <v>833</v>
      </c>
      <c r="B5">
        <f>INDEX(D22:D26,'All Rev &amp; Projects'!$A$166)</f>
        <v>50</v>
      </c>
      <c r="E5">
        <f>INDEX(E22:E26,'All Rev &amp; Projects'!$A$166)</f>
        <v>5.8</v>
      </c>
      <c r="F5">
        <f>INDEX(F22:F26,'All Rev &amp; Projects'!$A$166)</f>
        <v>5.857133157338688</v>
      </c>
      <c r="G5">
        <f>INDEX(G22:G26,'All Rev &amp; Projects'!$A$166)</f>
        <v>5.9137037260355854</v>
      </c>
      <c r="H5">
        <f>INDEX(H22:H26,'All Rev &amp; Projects'!$A$166)</f>
        <v>5.9694608219666483</v>
      </c>
      <c r="I5">
        <f>INDEX(I22:I26,'All Rev &amp; Projects'!$A$166)</f>
        <v>6.0244956757224379</v>
      </c>
      <c r="J5">
        <f>INDEX(J22:J26,'All Rev &amp; Projects'!$A$166)</f>
        <v>6.0783977496454327</v>
      </c>
      <c r="K5">
        <f>INDEX(K22:K26,'All Rev &amp; Projects'!$A$166)</f>
        <v>6.1312962870722574</v>
      </c>
      <c r="L5">
        <f>INDEX(L22:L26,'All Rev &amp; Projects'!$A$166)</f>
        <v>6.1831380701584209</v>
      </c>
      <c r="M5">
        <f>INDEX(M22:M26,'All Rev &amp; Projects'!$A$166)</f>
        <v>6.2339230989039214</v>
      </c>
      <c r="N5">
        <f>INDEX(N22:N26,'All Rev &amp; Projects'!$A$166)</f>
        <v>6.2836209631119058</v>
      </c>
      <c r="O5">
        <f>INDEX(O22:O26,'All Rev &amp; Projects'!$A$166)</f>
        <v>6.3322164576839493</v>
      </c>
      <c r="P5">
        <f>INDEX(P22:P26,'All Rev &amp; Projects'!$A$166)</f>
        <v>6.3799908769409441</v>
      </c>
      <c r="Q5">
        <f>INDEX(Q22:Q26,'All Rev &amp; Projects'!$A$166)</f>
        <v>6.4267921698986239</v>
      </c>
      <c r="R5">
        <f>INDEX(R22:R26,'All Rev &amp; Projects'!$A$166)</f>
        <v>6.4726355416554151</v>
      </c>
      <c r="S5">
        <f>INDEX(S22:S26,'All Rev &amp; Projects'!$A$166)</f>
        <v>6.5178631069259216</v>
      </c>
    </row>
    <row r="6" spans="1:19">
      <c r="B6" s="109"/>
    </row>
    <row r="10" spans="1:19">
      <c r="B10" t="s">
        <v>811</v>
      </c>
      <c r="C10">
        <v>552548995</v>
      </c>
      <c r="D10">
        <v>545437827.48039424</v>
      </c>
      <c r="E10">
        <v>509841278.09776366</v>
      </c>
      <c r="F10">
        <v>489924627.50932693</v>
      </c>
      <c r="G10">
        <v>470786009.19819391</v>
      </c>
      <c r="H10">
        <v>452395029.78964341</v>
      </c>
      <c r="I10">
        <v>434299228.59805763</v>
      </c>
      <c r="J10">
        <v>416927259.4541353</v>
      </c>
      <c r="K10">
        <v>400250169.07596987</v>
      </c>
      <c r="L10">
        <v>384240162.31293106</v>
      </c>
      <c r="M10">
        <v>368870555.82041383</v>
      </c>
      <c r="N10">
        <v>354115733.58759725</v>
      </c>
      <c r="O10">
        <v>339951104.24409336</v>
      </c>
      <c r="P10">
        <v>326353060.07432961</v>
      </c>
      <c r="Q10">
        <v>313298937.67135644</v>
      </c>
      <c r="R10">
        <v>300766980.16450214</v>
      </c>
      <c r="S10">
        <v>288736300.95792204</v>
      </c>
    </row>
    <row r="11" spans="1:19">
      <c r="B11" t="s">
        <v>812</v>
      </c>
      <c r="C11" s="112">
        <v>17589890</v>
      </c>
      <c r="D11">
        <v>18046642.368158516</v>
      </c>
      <c r="E11">
        <v>19861103.329999998</v>
      </c>
      <c r="F11">
        <v>20695980.670000002</v>
      </c>
      <c r="G11">
        <v>21530858.009999998</v>
      </c>
      <c r="H11">
        <v>22365735.350000001</v>
      </c>
      <c r="I11">
        <v>23200612.668345701</v>
      </c>
      <c r="J11">
        <v>24035490.008350801</v>
      </c>
      <c r="K11">
        <v>24870367.3483559</v>
      </c>
      <c r="L11">
        <v>25705244.688361</v>
      </c>
      <c r="M11">
        <v>26540122.028366201</v>
      </c>
      <c r="N11">
        <v>27374999.3683713</v>
      </c>
      <c r="O11">
        <v>28209876.7083764</v>
      </c>
      <c r="P11">
        <v>29044754.0483815</v>
      </c>
      <c r="Q11">
        <v>29879631.3883866</v>
      </c>
      <c r="R11">
        <v>30714508.7283918</v>
      </c>
      <c r="S11">
        <v>31549386.0683969</v>
      </c>
    </row>
    <row r="12" spans="1:19">
      <c r="B12" t="s">
        <v>839</v>
      </c>
      <c r="C12" s="112">
        <f>F18</f>
        <v>1757840.1253918495</v>
      </c>
      <c r="D12" s="109">
        <f>C12*1.242</f>
        <v>2183237.4357366771</v>
      </c>
      <c r="E12" s="109">
        <f t="shared" ref="E12:G12" si="6">D12*1.242</f>
        <v>2711580.8951849528</v>
      </c>
      <c r="F12" s="109">
        <f t="shared" si="6"/>
        <v>3367783.4718197114</v>
      </c>
      <c r="G12" s="109">
        <f t="shared" si="6"/>
        <v>4182787.0720000817</v>
      </c>
      <c r="H12" s="109">
        <f>G12+(G12-F12)*(1+Graphs!$C$5)*0.75</f>
        <v>4807792.957888403</v>
      </c>
      <c r="I12" s="109">
        <f>H12+(H12-G12)*(1+Graphs!$C$5)*0.75</f>
        <v>5287094.3466290096</v>
      </c>
      <c r="J12" s="109">
        <f>I12+(I12-H12)*(1+Graphs!$C$5)*0.75</f>
        <v>5654658.5991194621</v>
      </c>
      <c r="K12" s="109">
        <f>J12+(J12-I12)*(1+Graphs!$C$5)*0.75</f>
        <v>5936534.4352480778</v>
      </c>
      <c r="L12" s="109">
        <f>K12+(K12-J12)*(1+Graphs!$C$5)*0.75</f>
        <v>6152697.9670792101</v>
      </c>
      <c r="M12" s="109">
        <f>L12+(L12-K12)*(1+Graphs!$C$5)*0.75</f>
        <v>6318468.37555221</v>
      </c>
      <c r="N12" s="109">
        <f>M12+(M12-L12)*(1+Graphs!$C$5)*0.75</f>
        <v>6445593.5575499423</v>
      </c>
      <c r="O12" s="109">
        <f>N12+(N12-M12)*(1+Graphs!$C$5)*0.75</f>
        <v>6543082.681494453</v>
      </c>
      <c r="P12" s="109">
        <f>O12+(O12-N12)*(1+Graphs!$C$5)*0.75</f>
        <v>6617844.6534193996</v>
      </c>
      <c r="Q12" s="109">
        <f>P12+(P12-O12)*(1+Graphs!$C$5)*0.75</f>
        <v>6675177.7406393429</v>
      </c>
      <c r="R12" s="109">
        <f>Q12+(Q12-P12)*(1+Graphs!$C$5)*0.75</f>
        <v>6719145.0519011365</v>
      </c>
      <c r="S12" s="109">
        <f>R12+(R12-Q12)*(1+Graphs!$C$5)*0.75</f>
        <v>6752862.4837250244</v>
      </c>
    </row>
    <row r="14" spans="1:19">
      <c r="E14" t="s">
        <v>840</v>
      </c>
    </row>
    <row r="15" spans="1:19">
      <c r="B15" t="s">
        <v>813</v>
      </c>
      <c r="F15" t="s">
        <v>837</v>
      </c>
      <c r="G15" t="s">
        <v>72</v>
      </c>
    </row>
    <row r="16" spans="1:19">
      <c r="A16" t="s">
        <v>814</v>
      </c>
      <c r="B16">
        <v>0.1</v>
      </c>
      <c r="E16" t="s">
        <v>178</v>
      </c>
      <c r="F16" s="112">
        <v>1500000000</v>
      </c>
      <c r="G16">
        <v>319000000</v>
      </c>
    </row>
    <row r="17" spans="1:21">
      <c r="A17" t="s">
        <v>815</v>
      </c>
      <c r="B17" s="1">
        <v>0.75</v>
      </c>
      <c r="E17" t="s">
        <v>92</v>
      </c>
      <c r="F17" s="983">
        <f>F16/G16*G17</f>
        <v>3515680.2507836991</v>
      </c>
      <c r="G17" s="940">
        <v>747668</v>
      </c>
    </row>
    <row r="18" spans="1:21">
      <c r="E18" t="s">
        <v>838</v>
      </c>
      <c r="F18" s="109">
        <f>F17*0.5</f>
        <v>1757840.1253918495</v>
      </c>
    </row>
    <row r="20" spans="1:21">
      <c r="A20" s="960"/>
      <c r="B20" s="960"/>
      <c r="C20" s="960"/>
      <c r="D20" s="960"/>
      <c r="E20" s="960"/>
      <c r="F20" s="960"/>
      <c r="G20" s="960"/>
      <c r="H20" s="960"/>
      <c r="I20" s="960"/>
      <c r="J20" s="960"/>
      <c r="K20" s="960"/>
      <c r="L20" s="960"/>
      <c r="M20" s="960"/>
      <c r="N20" s="960"/>
      <c r="O20" s="960"/>
      <c r="P20" s="960"/>
      <c r="Q20" s="960"/>
      <c r="R20" s="960"/>
      <c r="S20" s="960"/>
      <c r="T20" s="960"/>
      <c r="U20" s="960"/>
    </row>
    <row r="21" spans="1:21">
      <c r="A21" t="s">
        <v>827</v>
      </c>
      <c r="E21">
        <v>2016</v>
      </c>
      <c r="F21">
        <v>2017</v>
      </c>
      <c r="G21">
        <v>2018</v>
      </c>
      <c r="H21">
        <v>2019</v>
      </c>
      <c r="I21">
        <v>2020</v>
      </c>
      <c r="J21">
        <v>2021</v>
      </c>
      <c r="K21">
        <v>2022</v>
      </c>
      <c r="L21">
        <v>2023</v>
      </c>
      <c r="M21">
        <v>2024</v>
      </c>
      <c r="N21">
        <v>2025</v>
      </c>
      <c r="O21">
        <v>2026</v>
      </c>
      <c r="P21">
        <v>2027</v>
      </c>
      <c r="Q21">
        <v>2028</v>
      </c>
      <c r="R21">
        <v>2029</v>
      </c>
      <c r="S21">
        <v>2030</v>
      </c>
    </row>
    <row r="22" spans="1:21">
      <c r="C22" t="s">
        <v>826</v>
      </c>
      <c r="D22" s="29">
        <v>50</v>
      </c>
      <c r="E22">
        <v>5.8</v>
      </c>
      <c r="F22" s="346">
        <f t="shared" ref="F22:S26" si="7">$E22*F$29</f>
        <v>5.857133157338688</v>
      </c>
      <c r="G22" s="346">
        <f t="shared" si="7"/>
        <v>5.9137037260355854</v>
      </c>
      <c r="H22" s="346">
        <f t="shared" si="7"/>
        <v>5.9694608219666483</v>
      </c>
      <c r="I22" s="346">
        <f t="shared" si="7"/>
        <v>6.0244956757224379</v>
      </c>
      <c r="J22" s="346">
        <f t="shared" si="7"/>
        <v>6.0783977496454327</v>
      </c>
      <c r="K22" s="346">
        <f t="shared" si="7"/>
        <v>6.1312962870722574</v>
      </c>
      <c r="L22" s="346">
        <f t="shared" si="7"/>
        <v>6.1831380701584209</v>
      </c>
      <c r="M22" s="346">
        <f t="shared" si="7"/>
        <v>6.2339230989039214</v>
      </c>
      <c r="N22" s="346">
        <f t="shared" si="7"/>
        <v>6.2836209631119058</v>
      </c>
      <c r="O22" s="346">
        <f t="shared" si="7"/>
        <v>6.3322164576839493</v>
      </c>
      <c r="P22" s="346">
        <f t="shared" si="7"/>
        <v>6.3799908769409441</v>
      </c>
      <c r="Q22" s="346">
        <f t="shared" si="7"/>
        <v>6.4267921698986239</v>
      </c>
      <c r="R22" s="346">
        <f t="shared" si="7"/>
        <v>6.4726355416554151</v>
      </c>
      <c r="S22" s="346">
        <f t="shared" si="7"/>
        <v>6.5178631069259216</v>
      </c>
    </row>
    <row r="23" spans="1:21">
      <c r="D23" s="29">
        <v>75</v>
      </c>
      <c r="E23">
        <v>8.6999999999999993</v>
      </c>
      <c r="F23" s="346">
        <f t="shared" si="7"/>
        <v>8.7856997360080307</v>
      </c>
      <c r="G23" s="346">
        <f t="shared" si="7"/>
        <v>8.870555589053378</v>
      </c>
      <c r="H23" s="346">
        <f t="shared" si="7"/>
        <v>8.954191232949972</v>
      </c>
      <c r="I23" s="346">
        <f t="shared" si="7"/>
        <v>9.0367435135836569</v>
      </c>
      <c r="J23" s="346">
        <f t="shared" si="7"/>
        <v>9.117596624468149</v>
      </c>
      <c r="K23" s="346">
        <f t="shared" si="7"/>
        <v>9.1969444306083865</v>
      </c>
      <c r="L23" s="346">
        <f t="shared" si="7"/>
        <v>9.2747071052376313</v>
      </c>
      <c r="M23" s="346">
        <f t="shared" si="7"/>
        <v>9.3508846483558816</v>
      </c>
      <c r="N23" s="346">
        <f t="shared" si="7"/>
        <v>9.4254314446678595</v>
      </c>
      <c r="O23" s="346">
        <f t="shared" si="7"/>
        <v>9.4983246865259243</v>
      </c>
      <c r="P23" s="346">
        <f t="shared" si="7"/>
        <v>9.5699863154114162</v>
      </c>
      <c r="Q23" s="346">
        <f t="shared" si="7"/>
        <v>9.6401882548479367</v>
      </c>
      <c r="R23" s="346">
        <f t="shared" si="7"/>
        <v>9.7089533124831213</v>
      </c>
      <c r="S23" s="346">
        <f t="shared" si="7"/>
        <v>9.776794660388882</v>
      </c>
    </row>
    <row r="24" spans="1:21">
      <c r="D24" s="29">
        <v>100</v>
      </c>
      <c r="E24">
        <v>11.6</v>
      </c>
      <c r="F24" s="346">
        <f t="shared" si="7"/>
        <v>11.714266314677376</v>
      </c>
      <c r="G24" s="346">
        <f t="shared" si="7"/>
        <v>11.827407452071171</v>
      </c>
      <c r="H24" s="346">
        <f t="shared" si="7"/>
        <v>11.938921643933297</v>
      </c>
      <c r="I24" s="346">
        <f t="shared" si="7"/>
        <v>12.048991351444876</v>
      </c>
      <c r="J24" s="346">
        <f t="shared" si="7"/>
        <v>12.156795499290865</v>
      </c>
      <c r="K24" s="346">
        <f t="shared" si="7"/>
        <v>12.262592574144515</v>
      </c>
      <c r="L24" s="346">
        <f t="shared" si="7"/>
        <v>12.366276140316842</v>
      </c>
      <c r="M24" s="346">
        <f t="shared" si="7"/>
        <v>12.467846197807843</v>
      </c>
      <c r="N24" s="346">
        <f t="shared" si="7"/>
        <v>12.567241926223812</v>
      </c>
      <c r="O24" s="346">
        <f t="shared" si="7"/>
        <v>12.664432915367899</v>
      </c>
      <c r="P24" s="346">
        <f t="shared" si="7"/>
        <v>12.759981753881888</v>
      </c>
      <c r="Q24" s="346">
        <f t="shared" si="7"/>
        <v>12.853584339797248</v>
      </c>
      <c r="R24" s="346">
        <f t="shared" si="7"/>
        <v>12.94527108331083</v>
      </c>
      <c r="S24" s="346">
        <f t="shared" si="7"/>
        <v>13.035726213851843</v>
      </c>
    </row>
    <row r="25" spans="1:21">
      <c r="D25" s="29">
        <v>125</v>
      </c>
      <c r="E25">
        <v>14.5</v>
      </c>
      <c r="F25" s="346">
        <f t="shared" si="7"/>
        <v>14.64283289334672</v>
      </c>
      <c r="G25" s="346">
        <f t="shared" si="7"/>
        <v>14.784259315088963</v>
      </c>
      <c r="H25" s="346">
        <f t="shared" si="7"/>
        <v>14.923652054916621</v>
      </c>
      <c r="I25" s="346">
        <f t="shared" si="7"/>
        <v>15.061239189306097</v>
      </c>
      <c r="J25" s="346">
        <f t="shared" si="7"/>
        <v>15.195994374113582</v>
      </c>
      <c r="K25" s="346">
        <f t="shared" si="7"/>
        <v>15.328240717680645</v>
      </c>
      <c r="L25" s="346">
        <f t="shared" si="7"/>
        <v>15.457845175396052</v>
      </c>
      <c r="M25" s="346">
        <f t="shared" si="7"/>
        <v>15.584807747259806</v>
      </c>
      <c r="N25" s="346">
        <f t="shared" si="7"/>
        <v>15.709052407779765</v>
      </c>
      <c r="O25" s="346">
        <f t="shared" si="7"/>
        <v>15.830541144209874</v>
      </c>
      <c r="P25" s="346">
        <f t="shared" si="7"/>
        <v>15.94997719235236</v>
      </c>
      <c r="Q25" s="346">
        <f t="shared" si="7"/>
        <v>16.066980424746561</v>
      </c>
      <c r="R25" s="346">
        <f t="shared" si="7"/>
        <v>16.181588854138539</v>
      </c>
      <c r="S25" s="346">
        <f t="shared" si="7"/>
        <v>16.294657767314803</v>
      </c>
    </row>
    <row r="26" spans="1:21">
      <c r="D26" s="29">
        <v>150</v>
      </c>
      <c r="E26">
        <v>17.399999999999999</v>
      </c>
      <c r="F26" s="346">
        <f t="shared" si="7"/>
        <v>17.571399472016061</v>
      </c>
      <c r="G26" s="346">
        <f t="shared" si="7"/>
        <v>17.741111178106756</v>
      </c>
      <c r="H26" s="346">
        <f t="shared" si="7"/>
        <v>17.908382465899944</v>
      </c>
      <c r="I26" s="346">
        <f t="shared" si="7"/>
        <v>18.073487027167314</v>
      </c>
      <c r="J26" s="346">
        <f t="shared" si="7"/>
        <v>18.235193248936298</v>
      </c>
      <c r="K26" s="346">
        <f t="shared" si="7"/>
        <v>18.393888861216773</v>
      </c>
      <c r="L26" s="346">
        <f t="shared" si="7"/>
        <v>18.549414210475263</v>
      </c>
      <c r="M26" s="346">
        <f t="shared" si="7"/>
        <v>18.701769296711763</v>
      </c>
      <c r="N26" s="346">
        <f t="shared" si="7"/>
        <v>18.850862889335719</v>
      </c>
      <c r="O26" s="346">
        <f t="shared" si="7"/>
        <v>18.996649373051849</v>
      </c>
      <c r="P26" s="346">
        <f t="shared" si="7"/>
        <v>19.139972630822832</v>
      </c>
      <c r="Q26" s="346">
        <f t="shared" si="7"/>
        <v>19.280376509695873</v>
      </c>
      <c r="R26" s="346">
        <f t="shared" si="7"/>
        <v>19.417906624966243</v>
      </c>
      <c r="S26" s="346">
        <f t="shared" si="7"/>
        <v>19.553589320777764</v>
      </c>
    </row>
    <row r="29" spans="1:21">
      <c r="E29">
        <f t="shared" ref="E29:S29" si="8">E30/$E$30</f>
        <v>1</v>
      </c>
      <c r="F29">
        <f t="shared" si="8"/>
        <v>1.0098505443687393</v>
      </c>
      <c r="G29">
        <f t="shared" si="8"/>
        <v>1.0196040906957906</v>
      </c>
      <c r="H29">
        <f t="shared" si="8"/>
        <v>1.0292173830976981</v>
      </c>
      <c r="I29">
        <f t="shared" si="8"/>
        <v>1.0387061509866273</v>
      </c>
      <c r="J29">
        <f t="shared" si="8"/>
        <v>1.0479996120078332</v>
      </c>
      <c r="K29">
        <f t="shared" si="8"/>
        <v>1.0571200494952169</v>
      </c>
      <c r="L29">
        <f t="shared" si="8"/>
        <v>1.0660582879583484</v>
      </c>
      <c r="M29">
        <f t="shared" si="8"/>
        <v>1.0748143273972279</v>
      </c>
      <c r="N29">
        <f t="shared" si="8"/>
        <v>1.0833829246744666</v>
      </c>
      <c r="O29">
        <f t="shared" si="8"/>
        <v>1.0917614582213706</v>
      </c>
      <c r="P29">
        <f t="shared" si="8"/>
        <v>1.0999984270587835</v>
      </c>
      <c r="Q29">
        <f t="shared" si="8"/>
        <v>1.1080676154997628</v>
      </c>
      <c r="R29">
        <f t="shared" si="8"/>
        <v>1.1159716451130026</v>
      </c>
      <c r="S29">
        <f t="shared" si="8"/>
        <v>1.1237695011941244</v>
      </c>
    </row>
    <row r="30" spans="1:21">
      <c r="D30" t="s">
        <v>72</v>
      </c>
      <c r="E30">
        <v>762902</v>
      </c>
      <c r="F30">
        <v>770417</v>
      </c>
      <c r="G30">
        <v>777858</v>
      </c>
      <c r="H30">
        <v>785192</v>
      </c>
      <c r="I30">
        <v>792431</v>
      </c>
      <c r="J30">
        <v>799521</v>
      </c>
      <c r="K30">
        <v>806479</v>
      </c>
      <c r="L30">
        <v>813298</v>
      </c>
      <c r="M30">
        <v>819978</v>
      </c>
      <c r="N30">
        <v>826515</v>
      </c>
      <c r="O30">
        <v>832907</v>
      </c>
      <c r="P30">
        <v>839191</v>
      </c>
      <c r="Q30">
        <v>845347</v>
      </c>
      <c r="R30">
        <v>851377</v>
      </c>
      <c r="S30">
        <v>857326</v>
      </c>
    </row>
    <row r="41" ht="15.75" customHeight="1"/>
  </sheetData>
  <sheetProtection password="CC29"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S13"/>
  <sheetViews>
    <sheetView workbookViewId="0">
      <selection activeCell="B6" sqref="B6:S6"/>
    </sheetView>
  </sheetViews>
  <sheetFormatPr defaultRowHeight="15"/>
  <cols>
    <col min="1" max="1" width="16.85546875" bestFit="1" customWidth="1"/>
    <col min="3" max="3" width="12" bestFit="1" customWidth="1"/>
  </cols>
  <sheetData>
    <row r="1" spans="1:19">
      <c r="A1" s="112"/>
      <c r="C1" t="s">
        <v>810</v>
      </c>
    </row>
    <row r="2" spans="1:19">
      <c r="A2" s="112"/>
    </row>
    <row r="3" spans="1:19">
      <c r="A3" s="983"/>
      <c r="C3" s="1027">
        <v>2014</v>
      </c>
      <c r="D3">
        <f>C3+1</f>
        <v>2015</v>
      </c>
      <c r="E3">
        <f t="shared" ref="E3:S3" si="0">D3+1</f>
        <v>2016</v>
      </c>
      <c r="F3">
        <f t="shared" si="0"/>
        <v>2017</v>
      </c>
      <c r="G3">
        <f t="shared" si="0"/>
        <v>2018</v>
      </c>
      <c r="H3">
        <f t="shared" si="0"/>
        <v>2019</v>
      </c>
      <c r="I3">
        <f t="shared" si="0"/>
        <v>2020</v>
      </c>
      <c r="J3">
        <f t="shared" si="0"/>
        <v>2021</v>
      </c>
      <c r="K3">
        <f t="shared" si="0"/>
        <v>2022</v>
      </c>
      <c r="L3">
        <f t="shared" si="0"/>
        <v>2023</v>
      </c>
      <c r="M3">
        <f t="shared" si="0"/>
        <v>2024</v>
      </c>
      <c r="N3">
        <f t="shared" si="0"/>
        <v>2025</v>
      </c>
      <c r="O3">
        <f t="shared" si="0"/>
        <v>2026</v>
      </c>
      <c r="P3">
        <f t="shared" si="0"/>
        <v>2027</v>
      </c>
      <c r="Q3">
        <f t="shared" si="0"/>
        <v>2028</v>
      </c>
      <c r="R3">
        <f t="shared" si="0"/>
        <v>2029</v>
      </c>
      <c r="S3">
        <f t="shared" si="0"/>
        <v>2030</v>
      </c>
    </row>
    <row r="4" spans="1:19">
      <c r="B4">
        <f>'All Rev &amp; Projects'!B159</f>
        <v>0.05</v>
      </c>
      <c r="C4" s="109">
        <f>SUMPRODUCT($C$10:$C$13,$F$10:$F$13)/1000000</f>
        <v>1.9609107435000019</v>
      </c>
      <c r="D4" s="109">
        <f>SUMPRODUCT($C$10:$C$13,$F$10:$F$13)/1000000*D6/$C6</f>
        <v>1.9809534361146746</v>
      </c>
      <c r="E4" s="109">
        <f t="shared" ref="E4:R4" si="1">SUMPRODUCT($C$10:$C$13,$F$10:$F$13)/1000000*E6/$C6</f>
        <v>2.0008649936036296</v>
      </c>
      <c r="F4" s="109">
        <f t="shared" si="1"/>
        <v>2.0205746029989795</v>
      </c>
      <c r="G4" s="109">
        <f t="shared" si="1"/>
        <v>2.0400901324082676</v>
      </c>
      <c r="H4" s="109">
        <f t="shared" si="1"/>
        <v>2.0593250326485197</v>
      </c>
      <c r="I4" s="109">
        <f t="shared" si="1"/>
        <v>2.0783107761499089</v>
      </c>
      <c r="J4" s="109">
        <f t="shared" si="1"/>
        <v>2.0969057369766593</v>
      </c>
      <c r="K4" s="109">
        <f t="shared" si="1"/>
        <v>2.1151545010715158</v>
      </c>
      <c r="L4" s="109">
        <f t="shared" si="1"/>
        <v>2.1330387095168772</v>
      </c>
      <c r="M4" s="109">
        <f t="shared" si="1"/>
        <v>2.150558362312744</v>
      </c>
      <c r="N4" s="109">
        <f t="shared" si="1"/>
        <v>2.1677029686490581</v>
      </c>
      <c r="O4" s="109">
        <f t="shared" si="1"/>
        <v>2.1844672831207919</v>
      </c>
      <c r="P4" s="109">
        <f t="shared" si="1"/>
        <v>2.2009483457209753</v>
      </c>
      <c r="Q4" s="109">
        <f t="shared" si="1"/>
        <v>2.217093702399322</v>
      </c>
      <c r="R4" s="109">
        <f t="shared" si="1"/>
        <v>2.2329085985608601</v>
      </c>
      <c r="S4" s="109">
        <f>SUMPRODUCT($C$10:$C$13,$F$10:$F$13)/1000000*S6/$C6</f>
        <v>2.248511055818736</v>
      </c>
    </row>
    <row r="6" spans="1:19">
      <c r="B6" t="s">
        <v>72</v>
      </c>
      <c r="C6" s="940">
        <v>747668</v>
      </c>
      <c r="D6" s="940">
        <v>755310</v>
      </c>
      <c r="E6" s="940">
        <v>762902</v>
      </c>
      <c r="F6" s="940">
        <v>770417</v>
      </c>
      <c r="G6" s="940">
        <v>777858</v>
      </c>
      <c r="H6" s="940">
        <v>785192</v>
      </c>
      <c r="I6" s="940">
        <v>792431</v>
      </c>
      <c r="J6" s="940">
        <v>799521</v>
      </c>
      <c r="K6" s="940">
        <v>806479</v>
      </c>
      <c r="L6" s="940">
        <v>813298</v>
      </c>
      <c r="M6" s="940">
        <v>819978</v>
      </c>
      <c r="N6" s="940">
        <v>826515</v>
      </c>
      <c r="O6" s="940">
        <v>832907</v>
      </c>
      <c r="P6" s="940">
        <v>839191</v>
      </c>
      <c r="Q6" s="940">
        <v>845347</v>
      </c>
      <c r="R6" s="940">
        <v>851377</v>
      </c>
      <c r="S6" s="940">
        <v>857326</v>
      </c>
    </row>
    <row r="9" spans="1:19">
      <c r="C9" t="s">
        <v>809</v>
      </c>
      <c r="D9" t="s">
        <v>53</v>
      </c>
      <c r="E9" t="s">
        <v>447</v>
      </c>
      <c r="F9" t="s">
        <v>869</v>
      </c>
    </row>
    <row r="10" spans="1:19">
      <c r="B10" s="314" t="s">
        <v>805</v>
      </c>
      <c r="C10" s="112">
        <v>1640739</v>
      </c>
      <c r="D10">
        <v>12.8</v>
      </c>
      <c r="E10">
        <f>D10*(1+$B$4)</f>
        <v>13.440000000000001</v>
      </c>
      <c r="F10">
        <f>E10-D10</f>
        <v>0.64000000000000057</v>
      </c>
    </row>
    <row r="11" spans="1:19">
      <c r="B11" s="314" t="s">
        <v>806</v>
      </c>
      <c r="C11" s="112">
        <v>10364001</v>
      </c>
      <c r="D11">
        <v>1.07</v>
      </c>
      <c r="E11">
        <f t="shared" ref="E11:E13" si="2">D11*(1+$B$4)</f>
        <v>1.1235000000000002</v>
      </c>
      <c r="F11">
        <f t="shared" ref="F11:F13" si="3">E11-D11</f>
        <v>5.3500000000000103E-2</v>
      </c>
    </row>
    <row r="12" spans="1:19">
      <c r="B12" s="314" t="s">
        <v>807</v>
      </c>
      <c r="C12" s="112">
        <v>2310985</v>
      </c>
      <c r="D12">
        <v>2.5</v>
      </c>
      <c r="E12">
        <f t="shared" si="2"/>
        <v>2.625</v>
      </c>
      <c r="F12">
        <f t="shared" si="3"/>
        <v>0.125</v>
      </c>
    </row>
    <row r="13" spans="1:19">
      <c r="B13" s="314" t="s">
        <v>808</v>
      </c>
      <c r="C13" s="126">
        <v>3856606</v>
      </c>
      <c r="D13">
        <v>0.35</v>
      </c>
      <c r="E13">
        <f t="shared" si="2"/>
        <v>0.36749999999999999</v>
      </c>
      <c r="F13">
        <f t="shared" si="3"/>
        <v>1.7500000000000016E-2</v>
      </c>
    </row>
  </sheetData>
  <sheetProtection password="CC29"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86"/>
  <sheetViews>
    <sheetView workbookViewId="0">
      <selection activeCell="B6" sqref="B6:S6"/>
    </sheetView>
  </sheetViews>
  <sheetFormatPr defaultColWidth="9.140625" defaultRowHeight="12.75"/>
  <cols>
    <col min="1" max="1" width="5.42578125" style="280" customWidth="1"/>
    <col min="2" max="2" width="2" style="279" hidden="1" customWidth="1"/>
    <col min="3" max="3" width="7.85546875" style="275" customWidth="1"/>
    <col min="4" max="4" width="14.140625" style="275" customWidth="1"/>
    <col min="5" max="5" width="0.42578125" style="275" customWidth="1"/>
    <col min="6" max="6" width="9.7109375" style="275" customWidth="1"/>
    <col min="7" max="7" width="3" style="275" hidden="1" customWidth="1"/>
    <col min="8" max="8" width="8.5703125" style="275" customWidth="1"/>
    <col min="9" max="9" width="6.42578125" style="275" hidden="1" customWidth="1"/>
    <col min="10" max="11" width="10.7109375" style="275" customWidth="1"/>
    <col min="12" max="12" width="14.140625" style="275" customWidth="1"/>
    <col min="13" max="13" width="13.7109375" style="275" bestFit="1" customWidth="1"/>
    <col min="14" max="14" width="8.5703125" style="275" customWidth="1"/>
    <col min="15" max="15" width="1.140625" style="278" customWidth="1"/>
    <col min="16" max="16" width="9.140625" style="278"/>
    <col min="17" max="17" width="1.5703125" style="278" customWidth="1"/>
    <col min="18" max="16384" width="9.140625" style="278"/>
  </cols>
  <sheetData>
    <row r="1" spans="1:14">
      <c r="A1" s="284" t="s">
        <v>327</v>
      </c>
      <c r="B1" s="284"/>
      <c r="C1" s="283"/>
      <c r="D1" s="283"/>
      <c r="E1" s="283"/>
      <c r="F1" s="283"/>
      <c r="G1" s="283"/>
      <c r="H1" s="283"/>
      <c r="I1" s="283"/>
      <c r="J1" s="283"/>
      <c r="K1" s="283"/>
      <c r="L1" s="283"/>
      <c r="M1" s="283"/>
      <c r="N1" s="283"/>
    </row>
    <row r="2" spans="1:14">
      <c r="A2" s="284" t="s">
        <v>318</v>
      </c>
      <c r="B2" s="284"/>
      <c r="C2" s="283"/>
      <c r="D2" s="283"/>
      <c r="E2" s="283"/>
      <c r="F2" s="283"/>
      <c r="G2" s="283"/>
      <c r="H2" s="283"/>
      <c r="I2" s="283"/>
      <c r="J2" s="283"/>
      <c r="K2" s="283"/>
      <c r="L2" s="283"/>
      <c r="M2" s="283"/>
      <c r="N2" s="283"/>
    </row>
    <row r="3" spans="1:14">
      <c r="A3" s="286" t="s">
        <v>326</v>
      </c>
      <c r="B3" s="286"/>
      <c r="C3" s="283"/>
      <c r="D3" s="283"/>
      <c r="E3" s="283"/>
      <c r="F3" s="283"/>
      <c r="G3" s="283"/>
      <c r="H3" s="283"/>
      <c r="I3" s="283"/>
      <c r="J3" s="283"/>
      <c r="K3" s="283"/>
      <c r="L3" s="283"/>
      <c r="M3" s="283"/>
      <c r="N3" s="283"/>
    </row>
    <row r="4" spans="1:14">
      <c r="A4" s="285" t="s">
        <v>316</v>
      </c>
      <c r="B4" s="284"/>
      <c r="C4" s="283"/>
      <c r="D4" s="283"/>
      <c r="E4" s="283"/>
      <c r="F4" s="283"/>
      <c r="G4" s="283"/>
      <c r="H4" s="283"/>
      <c r="I4" s="283"/>
      <c r="J4" s="283"/>
      <c r="K4" s="283"/>
      <c r="L4" s="283"/>
      <c r="M4" s="283"/>
      <c r="N4" s="283"/>
    </row>
    <row r="5" spans="1:14" s="281" customFormat="1" ht="24.75" customHeight="1">
      <c r="A5" s="281" t="s">
        <v>315</v>
      </c>
      <c r="C5" s="282" t="s">
        <v>314</v>
      </c>
      <c r="D5" s="282"/>
      <c r="E5" s="282"/>
      <c r="F5" s="282" t="s">
        <v>313</v>
      </c>
      <c r="G5" s="282"/>
      <c r="H5" s="282" t="s">
        <v>312</v>
      </c>
      <c r="I5" s="282"/>
      <c r="J5" s="281" t="s">
        <v>311</v>
      </c>
      <c r="L5" s="281" t="s">
        <v>310</v>
      </c>
      <c r="M5" s="281" t="s">
        <v>309</v>
      </c>
      <c r="N5" s="282" t="s">
        <v>308</v>
      </c>
    </row>
    <row r="6" spans="1:14" ht="19.5" customHeight="1">
      <c r="A6" s="280">
        <v>1979</v>
      </c>
      <c r="C6" s="295">
        <v>60</v>
      </c>
      <c r="D6" s="307"/>
      <c r="E6" s="307"/>
      <c r="F6" s="296">
        <v>1.7</v>
      </c>
      <c r="G6" s="295"/>
      <c r="H6" s="295">
        <v>10.1</v>
      </c>
      <c r="I6" s="307"/>
      <c r="J6" s="303">
        <v>0</v>
      </c>
      <c r="K6" s="303"/>
      <c r="L6" s="295">
        <v>22.3</v>
      </c>
      <c r="M6" s="303">
        <v>0</v>
      </c>
      <c r="N6" s="295">
        <f t="shared" ref="N6:N28" si="0">SUM(C6:L6)</f>
        <v>94.1</v>
      </c>
    </row>
    <row r="7" spans="1:14" ht="16.149999999999999" customHeight="1">
      <c r="A7" s="280">
        <f t="shared" ref="A7:A32" si="1">+A6+1</f>
        <v>1980</v>
      </c>
      <c r="C7" s="275">
        <v>75.099999999999994</v>
      </c>
      <c r="F7" s="303">
        <v>1.8</v>
      </c>
      <c r="H7" s="275">
        <v>10.1</v>
      </c>
      <c r="J7" s="303">
        <v>0</v>
      </c>
      <c r="K7" s="303"/>
      <c r="L7" s="275">
        <v>24.1</v>
      </c>
      <c r="M7" s="303">
        <v>0</v>
      </c>
      <c r="N7" s="275">
        <f t="shared" si="0"/>
        <v>111.1</v>
      </c>
    </row>
    <row r="8" spans="1:14" ht="16.899999999999999" customHeight="1">
      <c r="A8" s="280">
        <f t="shared" si="1"/>
        <v>1981</v>
      </c>
      <c r="C8" s="275">
        <v>97.6</v>
      </c>
      <c r="F8" s="303">
        <v>2.2000000000000002</v>
      </c>
      <c r="H8" s="275">
        <v>10</v>
      </c>
      <c r="J8" s="303">
        <v>0</v>
      </c>
      <c r="K8" s="303"/>
      <c r="L8" s="275">
        <v>38.4</v>
      </c>
      <c r="M8" s="303">
        <v>0</v>
      </c>
      <c r="N8" s="275">
        <f t="shared" si="0"/>
        <v>148.19999999999999</v>
      </c>
    </row>
    <row r="9" spans="1:14" ht="16.149999999999999" customHeight="1">
      <c r="A9" s="280">
        <f t="shared" si="1"/>
        <v>1982</v>
      </c>
      <c r="C9" s="275">
        <v>97.5</v>
      </c>
      <c r="F9" s="303">
        <v>2.2999999999999998</v>
      </c>
      <c r="H9" s="275">
        <v>10</v>
      </c>
      <c r="J9" s="303">
        <v>0</v>
      </c>
      <c r="K9" s="303"/>
      <c r="L9" s="275">
        <v>38.299999999999997</v>
      </c>
      <c r="M9" s="303">
        <v>0</v>
      </c>
      <c r="N9" s="275">
        <f t="shared" si="0"/>
        <v>148.1</v>
      </c>
    </row>
    <row r="10" spans="1:14" ht="16.149999999999999" customHeight="1">
      <c r="A10" s="280">
        <f t="shared" si="1"/>
        <v>1983</v>
      </c>
      <c r="C10" s="275">
        <v>143.6</v>
      </c>
      <c r="F10" s="303">
        <v>2.2999999999999998</v>
      </c>
      <c r="H10" s="275">
        <v>9.9</v>
      </c>
      <c r="J10" s="303">
        <v>0</v>
      </c>
      <c r="K10" s="303"/>
      <c r="L10" s="275">
        <v>36.200000000000003</v>
      </c>
      <c r="M10" s="303">
        <v>0</v>
      </c>
      <c r="N10" s="275">
        <f t="shared" si="0"/>
        <v>192</v>
      </c>
    </row>
    <row r="11" spans="1:14" ht="16.149999999999999" customHeight="1">
      <c r="A11" s="280">
        <f t="shared" si="1"/>
        <v>1984</v>
      </c>
      <c r="C11" s="275">
        <v>166.3</v>
      </c>
      <c r="F11" s="303">
        <v>2</v>
      </c>
      <c r="H11" s="275">
        <v>9.9</v>
      </c>
      <c r="J11" s="303">
        <v>0</v>
      </c>
      <c r="K11" s="303"/>
      <c r="L11" s="275">
        <v>90.6</v>
      </c>
      <c r="M11" s="303">
        <v>0</v>
      </c>
      <c r="N11" s="275">
        <f t="shared" si="0"/>
        <v>268.8</v>
      </c>
    </row>
    <row r="12" spans="1:14" ht="16.149999999999999" customHeight="1">
      <c r="A12" s="280">
        <f t="shared" si="1"/>
        <v>1985</v>
      </c>
      <c r="C12" s="275">
        <v>169.5</v>
      </c>
      <c r="F12" s="303">
        <v>2</v>
      </c>
      <c r="H12" s="275">
        <v>10.7</v>
      </c>
      <c r="J12" s="303">
        <v>0</v>
      </c>
      <c r="K12" s="303"/>
      <c r="L12" s="275">
        <v>93.2</v>
      </c>
      <c r="M12" s="303">
        <v>0</v>
      </c>
      <c r="N12" s="275">
        <f t="shared" si="0"/>
        <v>275.39999999999998</v>
      </c>
    </row>
    <row r="13" spans="1:14" ht="16.149999999999999" customHeight="1">
      <c r="A13" s="280">
        <f t="shared" si="1"/>
        <v>1986</v>
      </c>
      <c r="C13" s="275">
        <v>163.19999999999999</v>
      </c>
      <c r="F13" s="303">
        <v>1.8</v>
      </c>
      <c r="H13" s="275">
        <v>10.4</v>
      </c>
      <c r="J13" s="303">
        <v>0</v>
      </c>
      <c r="K13" s="303"/>
      <c r="L13" s="275">
        <v>106.3</v>
      </c>
      <c r="M13" s="303">
        <v>0</v>
      </c>
      <c r="N13" s="275">
        <f t="shared" si="0"/>
        <v>281.7</v>
      </c>
    </row>
    <row r="14" spans="1:14" ht="16.899999999999999" customHeight="1">
      <c r="A14" s="280">
        <f t="shared" si="1"/>
        <v>1987</v>
      </c>
      <c r="C14" s="275">
        <v>154.9</v>
      </c>
      <c r="F14" s="303">
        <v>1.8</v>
      </c>
      <c r="H14" s="275">
        <v>11.2</v>
      </c>
      <c r="J14" s="303">
        <v>0</v>
      </c>
      <c r="K14" s="303"/>
      <c r="L14" s="275">
        <v>115.8</v>
      </c>
      <c r="M14" s="303">
        <v>0</v>
      </c>
      <c r="N14" s="275">
        <f t="shared" si="0"/>
        <v>283.7</v>
      </c>
    </row>
    <row r="15" spans="1:14" ht="16.149999999999999" customHeight="1">
      <c r="A15" s="280">
        <f t="shared" si="1"/>
        <v>1988</v>
      </c>
      <c r="C15" s="275">
        <v>147.9</v>
      </c>
      <c r="F15" s="303">
        <v>1.5</v>
      </c>
      <c r="H15" s="275">
        <v>11.2</v>
      </c>
      <c r="J15" s="303">
        <v>0</v>
      </c>
      <c r="K15" s="303"/>
      <c r="L15" s="275">
        <v>109.5</v>
      </c>
      <c r="M15" s="303">
        <v>0</v>
      </c>
      <c r="N15" s="275">
        <f t="shared" si="0"/>
        <v>270.10000000000002</v>
      </c>
    </row>
    <row r="16" spans="1:14" ht="16.149999999999999" customHeight="1">
      <c r="A16" s="280">
        <f t="shared" si="1"/>
        <v>1989</v>
      </c>
      <c r="C16" s="275">
        <v>135.5</v>
      </c>
      <c r="F16" s="303">
        <v>2.2000000000000002</v>
      </c>
      <c r="H16" s="275">
        <v>11.7</v>
      </c>
      <c r="J16" s="303">
        <v>0</v>
      </c>
      <c r="K16" s="303"/>
      <c r="L16" s="275">
        <v>109.5</v>
      </c>
      <c r="M16" s="303">
        <v>0</v>
      </c>
      <c r="N16" s="275">
        <f t="shared" si="0"/>
        <v>258.89999999999998</v>
      </c>
    </row>
    <row r="17" spans="1:14" ht="16.149999999999999" customHeight="1">
      <c r="A17" s="280">
        <f t="shared" si="1"/>
        <v>1990</v>
      </c>
      <c r="C17" s="275">
        <v>120.3</v>
      </c>
      <c r="F17" s="303">
        <v>2.2000000000000002</v>
      </c>
      <c r="H17" s="275">
        <v>12</v>
      </c>
      <c r="J17" s="303">
        <v>0</v>
      </c>
      <c r="K17" s="303"/>
      <c r="L17" s="275">
        <v>107.8</v>
      </c>
      <c r="M17" s="303">
        <v>0</v>
      </c>
      <c r="N17" s="275">
        <f t="shared" si="0"/>
        <v>242.3</v>
      </c>
    </row>
    <row r="18" spans="1:14" ht="16.149999999999999" customHeight="1">
      <c r="A18" s="280">
        <f t="shared" si="1"/>
        <v>1991</v>
      </c>
      <c r="C18" s="275">
        <v>95.5</v>
      </c>
      <c r="F18" s="303">
        <v>2.7</v>
      </c>
      <c r="H18" s="275">
        <v>12</v>
      </c>
      <c r="J18" s="303">
        <v>0</v>
      </c>
      <c r="K18" s="303"/>
      <c r="L18" s="275">
        <v>116.7</v>
      </c>
      <c r="M18" s="303">
        <v>0</v>
      </c>
      <c r="N18" s="275">
        <f t="shared" si="0"/>
        <v>226.9</v>
      </c>
    </row>
    <row r="19" spans="1:14" ht="16.149999999999999" customHeight="1">
      <c r="A19" s="280">
        <f t="shared" si="1"/>
        <v>1992</v>
      </c>
      <c r="C19" s="275">
        <v>68.2</v>
      </c>
      <c r="F19" s="303">
        <v>2.7</v>
      </c>
      <c r="H19" s="275">
        <v>11.8</v>
      </c>
      <c r="J19" s="303">
        <v>0</v>
      </c>
      <c r="K19" s="303"/>
      <c r="L19" s="275">
        <v>129</v>
      </c>
      <c r="M19" s="303">
        <v>0</v>
      </c>
      <c r="N19" s="275">
        <f t="shared" si="0"/>
        <v>211.7</v>
      </c>
    </row>
    <row r="20" spans="1:14" ht="16.149999999999999" customHeight="1">
      <c r="A20" s="280">
        <f t="shared" si="1"/>
        <v>1993</v>
      </c>
      <c r="C20" s="275">
        <v>59.7</v>
      </c>
      <c r="F20" s="303">
        <v>3.7</v>
      </c>
      <c r="H20" s="275">
        <v>11.2</v>
      </c>
      <c r="J20" s="303">
        <v>0</v>
      </c>
      <c r="K20" s="303"/>
      <c r="L20" s="275">
        <v>127.6</v>
      </c>
      <c r="M20" s="303">
        <v>0</v>
      </c>
      <c r="N20" s="275">
        <f t="shared" si="0"/>
        <v>202.2</v>
      </c>
    </row>
    <row r="21" spans="1:14" ht="16.149999999999999" customHeight="1">
      <c r="A21" s="280">
        <f t="shared" si="1"/>
        <v>1994</v>
      </c>
      <c r="C21" s="275">
        <v>33.799999999999997</v>
      </c>
      <c r="F21" s="303">
        <v>0.2</v>
      </c>
      <c r="H21" s="275">
        <v>8.5</v>
      </c>
      <c r="J21" s="303">
        <v>0</v>
      </c>
      <c r="K21" s="303"/>
      <c r="L21" s="275">
        <v>99.1</v>
      </c>
      <c r="M21" s="303">
        <v>0</v>
      </c>
      <c r="N21" s="275">
        <f t="shared" si="0"/>
        <v>141.6</v>
      </c>
    </row>
    <row r="22" spans="1:14" ht="16.149999999999999" customHeight="1">
      <c r="A22" s="280">
        <f t="shared" si="1"/>
        <v>1995</v>
      </c>
      <c r="C22" s="275">
        <v>22.9</v>
      </c>
      <c r="F22" s="303">
        <v>0.2</v>
      </c>
      <c r="H22" s="275">
        <v>10.199999999999999</v>
      </c>
      <c r="J22" s="303">
        <v>0</v>
      </c>
      <c r="K22" s="303"/>
      <c r="L22" s="275">
        <v>103.3</v>
      </c>
      <c r="M22" s="303">
        <v>0</v>
      </c>
      <c r="N22" s="275">
        <f t="shared" si="0"/>
        <v>136.6</v>
      </c>
    </row>
    <row r="23" spans="1:14" ht="16.149999999999999" customHeight="1">
      <c r="A23" s="280">
        <f t="shared" si="1"/>
        <v>1996</v>
      </c>
      <c r="C23" s="275">
        <v>21.3</v>
      </c>
      <c r="F23" s="303">
        <v>0.2</v>
      </c>
      <c r="H23" s="275">
        <v>9.6</v>
      </c>
      <c r="J23" s="303">
        <v>0</v>
      </c>
      <c r="K23" s="303"/>
      <c r="L23" s="275">
        <v>79.7</v>
      </c>
      <c r="M23" s="303">
        <v>0</v>
      </c>
      <c r="N23" s="275">
        <f t="shared" si="0"/>
        <v>110.80000000000001</v>
      </c>
    </row>
    <row r="24" spans="1:14">
      <c r="A24" s="280">
        <f t="shared" si="1"/>
        <v>1997</v>
      </c>
      <c r="C24" s="275">
        <v>16.5</v>
      </c>
      <c r="F24" s="303">
        <v>0.2</v>
      </c>
      <c r="H24" s="275">
        <v>9.5</v>
      </c>
      <c r="J24" s="303">
        <v>0</v>
      </c>
      <c r="K24" s="303"/>
      <c r="L24" s="275">
        <v>62.5</v>
      </c>
      <c r="M24" s="303">
        <v>0</v>
      </c>
      <c r="N24" s="275">
        <f t="shared" si="0"/>
        <v>88.7</v>
      </c>
    </row>
    <row r="25" spans="1:14" ht="16.149999999999999" customHeight="1">
      <c r="A25" s="280">
        <f t="shared" si="1"/>
        <v>1998</v>
      </c>
      <c r="C25" s="275">
        <v>14.2</v>
      </c>
      <c r="F25" s="303">
        <v>0.2</v>
      </c>
      <c r="H25" s="275">
        <v>10.3</v>
      </c>
      <c r="J25" s="303">
        <v>0</v>
      </c>
      <c r="K25" s="303"/>
      <c r="L25" s="275">
        <v>61.6</v>
      </c>
      <c r="M25" s="303">
        <v>0</v>
      </c>
      <c r="N25" s="275">
        <f t="shared" si="0"/>
        <v>86.3</v>
      </c>
    </row>
    <row r="26" spans="1:14" ht="16.149999999999999" customHeight="1">
      <c r="A26" s="280">
        <f t="shared" si="1"/>
        <v>1999</v>
      </c>
      <c r="C26" s="275">
        <v>8.8000000000000007</v>
      </c>
      <c r="F26" s="303">
        <v>0.2</v>
      </c>
      <c r="H26" s="275">
        <v>15.5</v>
      </c>
      <c r="J26" s="303">
        <v>0</v>
      </c>
      <c r="K26" s="303"/>
      <c r="L26" s="275">
        <v>62</v>
      </c>
      <c r="M26" s="303">
        <v>0</v>
      </c>
      <c r="N26" s="275">
        <f t="shared" si="0"/>
        <v>86.5</v>
      </c>
    </row>
    <row r="27" spans="1:14" ht="16.149999999999999" customHeight="1">
      <c r="A27" s="280">
        <f t="shared" si="1"/>
        <v>2000</v>
      </c>
      <c r="C27" s="275">
        <v>2.4</v>
      </c>
      <c r="F27" s="303">
        <v>0</v>
      </c>
      <c r="H27" s="275">
        <v>15</v>
      </c>
      <c r="J27" s="303">
        <v>3.5</v>
      </c>
      <c r="K27" s="303"/>
      <c r="L27" s="275">
        <v>64.400000000000006</v>
      </c>
      <c r="M27" s="303">
        <v>0</v>
      </c>
      <c r="N27" s="275">
        <f t="shared" si="0"/>
        <v>85.300000000000011</v>
      </c>
    </row>
    <row r="28" spans="1:14" ht="16.149999999999999" customHeight="1">
      <c r="A28" s="280">
        <f t="shared" si="1"/>
        <v>2001</v>
      </c>
      <c r="C28" s="275">
        <v>0</v>
      </c>
      <c r="F28" s="303">
        <v>0</v>
      </c>
      <c r="H28" s="275">
        <v>12.8</v>
      </c>
      <c r="J28" s="303">
        <v>3.5</v>
      </c>
      <c r="K28" s="303"/>
      <c r="L28" s="275">
        <v>52.1</v>
      </c>
      <c r="M28" s="303">
        <v>0</v>
      </c>
      <c r="N28" s="275">
        <f t="shared" si="0"/>
        <v>68.400000000000006</v>
      </c>
    </row>
    <row r="29" spans="1:14" ht="16.149999999999999" customHeight="1">
      <c r="A29" s="280">
        <f t="shared" si="1"/>
        <v>2002</v>
      </c>
      <c r="C29" s="275">
        <v>0</v>
      </c>
      <c r="F29" s="303">
        <v>0</v>
      </c>
      <c r="H29" s="275">
        <v>12.4</v>
      </c>
      <c r="J29" s="301">
        <v>8.8000000000000007</v>
      </c>
      <c r="K29" s="301"/>
      <c r="L29" s="301">
        <v>54.1</v>
      </c>
      <c r="M29" s="303">
        <v>0</v>
      </c>
      <c r="N29" s="275">
        <f t="shared" ref="N29:N38" si="2">SUM(C29:M29)</f>
        <v>75.300000000000011</v>
      </c>
    </row>
    <row r="30" spans="1:14" ht="16.149999999999999" customHeight="1">
      <c r="A30" s="280">
        <f t="shared" si="1"/>
        <v>2003</v>
      </c>
      <c r="C30" s="275">
        <v>0</v>
      </c>
      <c r="F30" s="303">
        <v>0</v>
      </c>
      <c r="H30" s="275">
        <v>11.9</v>
      </c>
      <c r="J30" s="301">
        <v>8.8000000000000007</v>
      </c>
      <c r="K30" s="301"/>
      <c r="L30" s="301">
        <v>52</v>
      </c>
      <c r="M30" s="301">
        <v>0</v>
      </c>
      <c r="N30" s="275">
        <f t="shared" si="2"/>
        <v>72.7</v>
      </c>
    </row>
    <row r="31" spans="1:14" ht="16.149999999999999" customHeight="1">
      <c r="A31" s="280">
        <f t="shared" si="1"/>
        <v>2004</v>
      </c>
      <c r="C31" s="275">
        <v>19.399999999999999</v>
      </c>
      <c r="F31" s="303">
        <v>0</v>
      </c>
      <c r="H31" s="275">
        <v>12.1</v>
      </c>
      <c r="J31" s="301">
        <v>8.8000000000000007</v>
      </c>
      <c r="K31" s="301"/>
      <c r="L31" s="301">
        <v>60.6</v>
      </c>
      <c r="M31" s="301">
        <v>0.3</v>
      </c>
      <c r="N31" s="275">
        <f t="shared" si="2"/>
        <v>101.2</v>
      </c>
    </row>
    <row r="32" spans="1:14" ht="16.149999999999999" customHeight="1">
      <c r="A32" s="280">
        <f t="shared" si="1"/>
        <v>2005</v>
      </c>
      <c r="C32" s="275">
        <v>46.4</v>
      </c>
      <c r="D32" s="306"/>
      <c r="E32" s="306"/>
      <c r="F32" s="303">
        <v>0</v>
      </c>
      <c r="H32" s="275">
        <v>13.760999999999999</v>
      </c>
      <c r="I32" s="306"/>
      <c r="J32" s="301">
        <v>8.8000000000000007</v>
      </c>
      <c r="K32" s="301"/>
      <c r="L32" s="301">
        <v>71.400000000000006</v>
      </c>
      <c r="M32" s="301">
        <v>0.2</v>
      </c>
      <c r="N32" s="275">
        <f t="shared" si="2"/>
        <v>140.56099999999998</v>
      </c>
    </row>
    <row r="33" spans="1:14" ht="16.149999999999999" customHeight="1">
      <c r="A33" s="280">
        <v>2006</v>
      </c>
      <c r="C33" s="275">
        <v>45.7</v>
      </c>
      <c r="F33" s="303">
        <v>0</v>
      </c>
      <c r="H33" s="275">
        <v>13.2</v>
      </c>
      <c r="J33" s="301">
        <v>8.6</v>
      </c>
      <c r="K33" s="301"/>
      <c r="L33" s="305">
        <v>81.099999999999994</v>
      </c>
      <c r="M33" s="301">
        <v>2.2000000000000002</v>
      </c>
      <c r="N33" s="275">
        <f t="shared" si="2"/>
        <v>150.79999999999998</v>
      </c>
    </row>
    <row r="34" spans="1:14" ht="16.149999999999999" customHeight="1">
      <c r="A34" s="280">
        <v>2007</v>
      </c>
      <c r="C34" s="275">
        <v>45</v>
      </c>
      <c r="F34" s="303">
        <v>0</v>
      </c>
      <c r="H34" s="275">
        <v>13.156000000000001</v>
      </c>
      <c r="J34" s="301">
        <v>9.1</v>
      </c>
      <c r="K34" s="301"/>
      <c r="L34" s="297">
        <v>86.9</v>
      </c>
      <c r="M34" s="301">
        <v>3.6</v>
      </c>
      <c r="N34" s="275">
        <f t="shared" si="2"/>
        <v>157.756</v>
      </c>
    </row>
    <row r="35" spans="1:14" ht="16.149999999999999" customHeight="1">
      <c r="A35" s="280">
        <v>2008</v>
      </c>
      <c r="C35" s="275">
        <v>44.4</v>
      </c>
      <c r="F35" s="303">
        <v>0</v>
      </c>
      <c r="H35" s="275">
        <v>11.145</v>
      </c>
      <c r="J35" s="301">
        <v>11.8</v>
      </c>
      <c r="K35" s="301"/>
      <c r="L35" s="297">
        <v>91.1</v>
      </c>
      <c r="M35" s="301">
        <v>4.24</v>
      </c>
      <c r="N35" s="275">
        <f t="shared" si="2"/>
        <v>162.685</v>
      </c>
    </row>
    <row r="36" spans="1:14" ht="16.149999999999999" customHeight="1">
      <c r="A36" s="280">
        <v>2009</v>
      </c>
      <c r="C36" s="275">
        <v>43.9</v>
      </c>
      <c r="F36" s="303">
        <v>0</v>
      </c>
      <c r="H36" s="275">
        <v>8.0359999999999996</v>
      </c>
      <c r="J36" s="301">
        <v>20.399999999999999</v>
      </c>
      <c r="K36" s="301"/>
      <c r="L36" s="297">
        <v>93.3</v>
      </c>
      <c r="M36" s="301">
        <v>3.8980000000000001</v>
      </c>
      <c r="N36" s="275">
        <f t="shared" si="2"/>
        <v>169.53399999999999</v>
      </c>
    </row>
    <row r="37" spans="1:14" ht="16.149999999999999" customHeight="1">
      <c r="A37" s="280">
        <v>2010</v>
      </c>
      <c r="C37" s="275">
        <v>48.944000000000003</v>
      </c>
      <c r="F37" s="303">
        <v>0</v>
      </c>
      <c r="H37" s="275">
        <v>8.0109999999999992</v>
      </c>
      <c r="J37" s="301">
        <v>29.6</v>
      </c>
      <c r="K37" s="301"/>
      <c r="L37" s="297">
        <v>95.8</v>
      </c>
      <c r="M37" s="301">
        <v>5.1870000000000003</v>
      </c>
      <c r="N37" s="275">
        <f t="shared" si="2"/>
        <v>187.54200000000003</v>
      </c>
    </row>
    <row r="38" spans="1:14" ht="16.149999999999999" customHeight="1">
      <c r="A38" s="280">
        <v>2011</v>
      </c>
      <c r="C38" s="275">
        <v>53.759</v>
      </c>
      <c r="F38" s="303">
        <v>0</v>
      </c>
      <c r="H38" s="275">
        <v>7.984</v>
      </c>
      <c r="J38" s="301">
        <v>29.7</v>
      </c>
      <c r="K38" s="301"/>
      <c r="L38" s="297">
        <v>99.6</v>
      </c>
      <c r="M38" s="301">
        <v>5.3410000000000002</v>
      </c>
      <c r="N38" s="275">
        <f t="shared" si="2"/>
        <v>196.38400000000001</v>
      </c>
    </row>
    <row r="39" spans="1:14" ht="16.149999999999999" customHeight="1">
      <c r="F39" s="303"/>
      <c r="J39" s="301"/>
      <c r="K39" s="301"/>
      <c r="L39" s="297"/>
      <c r="M39" s="301"/>
    </row>
    <row r="40" spans="1:14" ht="16.149999999999999" customHeight="1">
      <c r="F40" s="303"/>
      <c r="J40" s="301"/>
      <c r="K40" s="301"/>
      <c r="L40" s="297"/>
      <c r="M40" s="301"/>
    </row>
    <row r="41" spans="1:14" ht="16.149999999999999" customHeight="1">
      <c r="A41" s="284" t="s">
        <v>319</v>
      </c>
      <c r="B41" s="284"/>
      <c r="C41" s="283"/>
      <c r="D41" s="283"/>
      <c r="E41" s="283"/>
      <c r="F41" s="283"/>
      <c r="G41" s="283"/>
      <c r="H41" s="283"/>
      <c r="I41" s="283"/>
      <c r="J41" s="283"/>
      <c r="K41" s="283"/>
      <c r="L41" s="283"/>
      <c r="M41" s="283"/>
      <c r="N41" s="283"/>
    </row>
    <row r="42" spans="1:14" ht="16.149999999999999" customHeight="1">
      <c r="A42" s="284" t="s">
        <v>318</v>
      </c>
      <c r="B42" s="284"/>
      <c r="C42" s="283"/>
      <c r="D42" s="283"/>
      <c r="E42" s="283"/>
      <c r="F42" s="283"/>
      <c r="G42" s="283"/>
      <c r="H42" s="283"/>
      <c r="I42" s="283"/>
      <c r="J42" s="283"/>
      <c r="K42" s="283"/>
      <c r="L42" s="283"/>
      <c r="M42" s="283"/>
      <c r="N42" s="283"/>
    </row>
    <row r="43" spans="1:14" ht="16.149999999999999" customHeight="1">
      <c r="A43" s="286" t="s">
        <v>326</v>
      </c>
      <c r="B43" s="286"/>
      <c r="C43" s="283"/>
      <c r="D43" s="283"/>
      <c r="E43" s="283"/>
      <c r="F43" s="283"/>
      <c r="G43" s="283"/>
      <c r="H43" s="283"/>
      <c r="I43" s="283"/>
      <c r="J43" s="283"/>
      <c r="K43" s="283"/>
      <c r="L43" s="283"/>
      <c r="M43" s="283"/>
      <c r="N43" s="283"/>
    </row>
    <row r="44" spans="1:14" ht="16.149999999999999" customHeight="1">
      <c r="A44" s="285" t="s">
        <v>316</v>
      </c>
      <c r="B44" s="284"/>
      <c r="C44" s="283"/>
      <c r="D44" s="283"/>
      <c r="E44" s="283"/>
      <c r="F44" s="283"/>
      <c r="G44" s="283"/>
      <c r="H44" s="283"/>
      <c r="I44" s="283"/>
      <c r="J44" s="283"/>
      <c r="K44" s="283"/>
      <c r="L44" s="283"/>
      <c r="M44" s="283"/>
      <c r="N44" s="283"/>
    </row>
    <row r="45" spans="1:14" ht="66.599999999999994" customHeight="1">
      <c r="A45" s="281" t="s">
        <v>315</v>
      </c>
      <c r="B45" s="281"/>
      <c r="C45" s="282" t="s">
        <v>314</v>
      </c>
      <c r="D45" s="304" t="s">
        <v>325</v>
      </c>
      <c r="E45" s="282"/>
      <c r="F45" s="282" t="s">
        <v>313</v>
      </c>
      <c r="G45" s="282"/>
      <c r="H45" s="282" t="s">
        <v>312</v>
      </c>
      <c r="I45" s="282"/>
      <c r="J45" s="281" t="s">
        <v>311</v>
      </c>
      <c r="K45" s="281" t="s">
        <v>324</v>
      </c>
      <c r="L45" s="281" t="s">
        <v>310</v>
      </c>
      <c r="M45" s="281" t="s">
        <v>309</v>
      </c>
      <c r="N45" s="282" t="s">
        <v>308</v>
      </c>
    </row>
    <row r="46" spans="1:14" ht="16.149999999999999" customHeight="1">
      <c r="A46" s="280">
        <v>2012</v>
      </c>
      <c r="C46" s="275">
        <v>78.796000000000006</v>
      </c>
      <c r="D46" s="299"/>
      <c r="F46" s="303">
        <v>0</v>
      </c>
      <c r="H46" s="275">
        <v>7.476</v>
      </c>
      <c r="J46" s="301">
        <v>29.138000000000002</v>
      </c>
      <c r="K46" s="301"/>
      <c r="L46" s="300">
        <v>100.9</v>
      </c>
      <c r="M46" s="301">
        <v>5.3380000000000001</v>
      </c>
      <c r="N46" s="275">
        <f t="shared" ref="N46:N73" si="3">SUM(C46:M46)</f>
        <v>221.648</v>
      </c>
    </row>
    <row r="47" spans="1:14" ht="16.149999999999999" customHeight="1">
      <c r="A47" s="280">
        <v>2013</v>
      </c>
      <c r="C47" s="275">
        <v>76.3</v>
      </c>
      <c r="D47" s="299"/>
      <c r="F47" s="303">
        <v>0</v>
      </c>
      <c r="H47" s="275">
        <v>6.97</v>
      </c>
      <c r="J47" s="301">
        <v>28.7</v>
      </c>
      <c r="K47" s="301"/>
      <c r="L47" s="300">
        <v>112.3</v>
      </c>
      <c r="M47" s="301">
        <v>5.1580000000000004</v>
      </c>
      <c r="N47" s="275">
        <f t="shared" si="3"/>
        <v>229.42799999999997</v>
      </c>
    </row>
    <row r="48" spans="1:14" ht="16.149999999999999" customHeight="1">
      <c r="A48" s="280">
        <v>2014</v>
      </c>
      <c r="C48" s="275">
        <v>85.983000000000004</v>
      </c>
      <c r="D48" s="299"/>
      <c r="F48" s="303">
        <v>0</v>
      </c>
      <c r="H48" s="275">
        <v>1.79</v>
      </c>
      <c r="J48" s="301">
        <v>28.7</v>
      </c>
      <c r="K48" s="301"/>
      <c r="L48" s="300">
        <v>109.8</v>
      </c>
      <c r="M48" s="301">
        <v>5.1449999999999996</v>
      </c>
      <c r="N48" s="299">
        <f t="shared" si="3"/>
        <v>231.41800000000003</v>
      </c>
    </row>
    <row r="49" spans="1:15" ht="16.149999999999999" customHeight="1">
      <c r="A49" s="280">
        <v>2015</v>
      </c>
      <c r="C49" s="275">
        <v>73.505561</v>
      </c>
      <c r="D49" s="299"/>
      <c r="F49" s="303">
        <v>0</v>
      </c>
      <c r="H49" s="275">
        <v>1.77</v>
      </c>
      <c r="J49" s="301">
        <v>28.7</v>
      </c>
      <c r="K49" s="301">
        <v>2.8</v>
      </c>
      <c r="L49" s="300">
        <v>109</v>
      </c>
      <c r="M49" s="301">
        <v>5.0030000000000001</v>
      </c>
      <c r="N49" s="299">
        <f t="shared" si="3"/>
        <v>220.77856099999997</v>
      </c>
    </row>
    <row r="50" spans="1:15" ht="16.149999999999999" customHeight="1">
      <c r="A50" s="280">
        <v>2016</v>
      </c>
      <c r="C50" s="275">
        <v>63.402000000000001</v>
      </c>
      <c r="D50" s="299"/>
      <c r="F50" s="303">
        <v>0</v>
      </c>
      <c r="H50" s="275">
        <v>1.76</v>
      </c>
      <c r="J50" s="301">
        <v>26.4</v>
      </c>
      <c r="K50" s="301">
        <v>2.9</v>
      </c>
      <c r="L50" s="300">
        <v>104.4</v>
      </c>
      <c r="M50" s="301">
        <v>4.2140000000000004</v>
      </c>
      <c r="N50" s="299">
        <f t="shared" si="3"/>
        <v>203.07600000000002</v>
      </c>
    </row>
    <row r="51" spans="1:15" ht="16.149999999999999" customHeight="1">
      <c r="A51" s="280">
        <v>2017</v>
      </c>
      <c r="C51" s="275">
        <v>63.237000000000002</v>
      </c>
      <c r="D51" s="299">
        <v>15</v>
      </c>
      <c r="F51" s="303">
        <v>0</v>
      </c>
      <c r="H51" s="275">
        <v>2.5999999999999999E-2</v>
      </c>
      <c r="J51" s="301">
        <v>25.5</v>
      </c>
      <c r="K51" s="301">
        <v>2.9</v>
      </c>
      <c r="L51" s="300">
        <v>98.5</v>
      </c>
      <c r="M51" s="301">
        <v>4.1580000000000004</v>
      </c>
      <c r="N51" s="299">
        <f t="shared" si="3"/>
        <v>209.321</v>
      </c>
    </row>
    <row r="52" spans="1:15" ht="16.149999999999999" customHeight="1">
      <c r="A52" s="280">
        <v>2018</v>
      </c>
      <c r="C52" s="275">
        <v>63.124000000000002</v>
      </c>
      <c r="D52" s="299">
        <v>15</v>
      </c>
      <c r="F52" s="303">
        <v>0</v>
      </c>
      <c r="H52" s="275">
        <v>0</v>
      </c>
      <c r="J52" s="301">
        <v>21.8</v>
      </c>
      <c r="K52" s="301">
        <v>2.9</v>
      </c>
      <c r="L52" s="300">
        <v>94.3</v>
      </c>
      <c r="M52" s="301">
        <v>4.0910000000000002</v>
      </c>
      <c r="N52" s="299">
        <f t="shared" si="3"/>
        <v>201.215</v>
      </c>
    </row>
    <row r="53" spans="1:15" ht="16.899999999999999" customHeight="1">
      <c r="A53" s="280">
        <v>2019</v>
      </c>
      <c r="C53" s="275">
        <v>63.03</v>
      </c>
      <c r="D53" s="299">
        <v>30</v>
      </c>
      <c r="F53" s="275">
        <v>0</v>
      </c>
      <c r="H53" s="275">
        <v>0</v>
      </c>
      <c r="J53" s="301">
        <v>21.1</v>
      </c>
      <c r="K53" s="301">
        <v>2.9</v>
      </c>
      <c r="L53" s="300">
        <v>87.5</v>
      </c>
      <c r="M53" s="301">
        <v>4.05</v>
      </c>
      <c r="N53" s="299">
        <f t="shared" si="3"/>
        <v>208.58</v>
      </c>
    </row>
    <row r="54" spans="1:15" ht="16.149999999999999" customHeight="1">
      <c r="A54" s="280">
        <v>2020</v>
      </c>
      <c r="C54" s="275">
        <v>51.893000000000001</v>
      </c>
      <c r="D54" s="299">
        <v>30</v>
      </c>
      <c r="F54" s="275">
        <v>0</v>
      </c>
      <c r="H54" s="275">
        <v>0</v>
      </c>
      <c r="J54" s="301">
        <v>21.3</v>
      </c>
      <c r="K54" s="301">
        <v>2.9</v>
      </c>
      <c r="L54" s="300">
        <v>81.2</v>
      </c>
      <c r="M54" s="301">
        <v>2.7829999999999999</v>
      </c>
      <c r="N54" s="299">
        <f t="shared" si="3"/>
        <v>190.07599999999999</v>
      </c>
      <c r="O54" s="294"/>
    </row>
    <row r="55" spans="1:15" ht="16.149999999999999" customHeight="1">
      <c r="A55" s="280">
        <v>2021</v>
      </c>
      <c r="C55" s="275">
        <v>51.899000000000001</v>
      </c>
      <c r="D55" s="299">
        <v>30</v>
      </c>
      <c r="E55" s="295"/>
      <c r="F55" s="275">
        <v>0</v>
      </c>
      <c r="G55" s="295"/>
      <c r="H55" s="275">
        <v>0</v>
      </c>
      <c r="I55" s="295"/>
      <c r="J55" s="275">
        <v>21.1</v>
      </c>
      <c r="K55" s="301">
        <v>2.9</v>
      </c>
      <c r="L55" s="300">
        <v>78.2</v>
      </c>
      <c r="M55" s="301">
        <v>2.778</v>
      </c>
      <c r="N55" s="299">
        <f t="shared" si="3"/>
        <v>186.87699999999998</v>
      </c>
      <c r="O55" s="294"/>
    </row>
    <row r="56" spans="1:15" ht="16.149999999999999" customHeight="1">
      <c r="A56" s="280">
        <v>2022</v>
      </c>
      <c r="C56" s="275">
        <v>41.695</v>
      </c>
      <c r="D56" s="299">
        <v>30</v>
      </c>
      <c r="E56" s="295"/>
      <c r="F56" s="275">
        <v>0</v>
      </c>
      <c r="G56" s="295"/>
      <c r="H56" s="275">
        <v>0</v>
      </c>
      <c r="I56" s="295"/>
      <c r="J56" s="275">
        <v>21.1</v>
      </c>
      <c r="K56" s="301">
        <v>2.9</v>
      </c>
      <c r="L56" s="300">
        <v>66.400000000000006</v>
      </c>
      <c r="M56" s="301">
        <v>2.7810000000000001</v>
      </c>
      <c r="N56" s="299">
        <f t="shared" si="3"/>
        <v>164.876</v>
      </c>
      <c r="O56" s="294"/>
    </row>
    <row r="57" spans="1:15" ht="16.149999999999999" customHeight="1">
      <c r="A57" s="280">
        <v>2023</v>
      </c>
      <c r="C57" s="275">
        <v>41.79</v>
      </c>
      <c r="D57" s="299">
        <v>30</v>
      </c>
      <c r="E57" s="295"/>
      <c r="F57" s="275">
        <v>0</v>
      </c>
      <c r="G57" s="295"/>
      <c r="H57" s="275">
        <v>0</v>
      </c>
      <c r="I57" s="295"/>
      <c r="J57" s="275">
        <v>21.1</v>
      </c>
      <c r="K57" s="301">
        <v>2.9</v>
      </c>
      <c r="L57" s="300">
        <v>62.4</v>
      </c>
      <c r="M57" s="302">
        <v>2.8420000000000001</v>
      </c>
      <c r="N57" s="299">
        <f t="shared" si="3"/>
        <v>161.03200000000001</v>
      </c>
      <c r="O57" s="294"/>
    </row>
    <row r="58" spans="1:15" ht="16.149999999999999" customHeight="1">
      <c r="A58" s="280">
        <v>2024</v>
      </c>
      <c r="C58" s="275">
        <v>44.731000000000002</v>
      </c>
      <c r="D58" s="299">
        <v>30</v>
      </c>
      <c r="E58" s="295"/>
      <c r="F58" s="275">
        <v>0</v>
      </c>
      <c r="G58" s="295"/>
      <c r="H58" s="275">
        <v>0</v>
      </c>
      <c r="I58" s="295"/>
      <c r="J58" s="275">
        <v>21.1</v>
      </c>
      <c r="K58" s="301">
        <v>2.9</v>
      </c>
      <c r="L58" s="300">
        <v>51</v>
      </c>
      <c r="M58" s="302">
        <v>2.8210000000000002</v>
      </c>
      <c r="N58" s="299">
        <f t="shared" si="3"/>
        <v>152.55199999999999</v>
      </c>
      <c r="O58" s="294"/>
    </row>
    <row r="59" spans="1:15" ht="16.149999999999999" customHeight="1">
      <c r="A59" s="280">
        <v>2025</v>
      </c>
      <c r="C59" s="275">
        <v>37.268999999999998</v>
      </c>
      <c r="D59" s="299">
        <v>30</v>
      </c>
      <c r="E59" s="295"/>
      <c r="F59" s="275">
        <v>0</v>
      </c>
      <c r="G59" s="295"/>
      <c r="H59" s="275">
        <v>0</v>
      </c>
      <c r="I59" s="295"/>
      <c r="J59" s="275">
        <v>21.1</v>
      </c>
      <c r="K59" s="301">
        <v>2.9</v>
      </c>
      <c r="L59" s="300">
        <v>42.4</v>
      </c>
      <c r="M59" s="302">
        <v>2.758</v>
      </c>
      <c r="N59" s="299">
        <f t="shared" si="3"/>
        <v>136.42700000000002</v>
      </c>
      <c r="O59" s="294"/>
    </row>
    <row r="60" spans="1:15" ht="16.149999999999999" customHeight="1">
      <c r="A60" s="280">
        <v>2026</v>
      </c>
      <c r="C60" s="275">
        <v>17.818999999999999</v>
      </c>
      <c r="D60" s="299">
        <v>30</v>
      </c>
      <c r="E60" s="295"/>
      <c r="F60" s="275">
        <v>0</v>
      </c>
      <c r="G60" s="295"/>
      <c r="H60" s="275">
        <v>0</v>
      </c>
      <c r="I60" s="295"/>
      <c r="J60" s="275">
        <v>21.1</v>
      </c>
      <c r="K60" s="301">
        <v>2.9</v>
      </c>
      <c r="L60" s="300">
        <v>31.2</v>
      </c>
      <c r="M60" s="302">
        <v>2.6</v>
      </c>
      <c r="N60" s="299">
        <f t="shared" si="3"/>
        <v>105.61900000000001</v>
      </c>
      <c r="O60" s="294"/>
    </row>
    <row r="61" spans="1:15" ht="16.149999999999999" customHeight="1">
      <c r="A61" s="280">
        <v>2027</v>
      </c>
      <c r="C61" s="275">
        <v>36.331000000000003</v>
      </c>
      <c r="D61" s="299">
        <v>30</v>
      </c>
      <c r="E61" s="295"/>
      <c r="F61" s="275">
        <v>0</v>
      </c>
      <c r="G61" s="295"/>
      <c r="H61" s="275">
        <v>0</v>
      </c>
      <c r="I61" s="295"/>
      <c r="J61" s="275">
        <v>21.1</v>
      </c>
      <c r="K61" s="301">
        <v>2.9</v>
      </c>
      <c r="L61" s="300">
        <v>27</v>
      </c>
      <c r="M61" s="297">
        <v>0</v>
      </c>
      <c r="N61" s="299">
        <f t="shared" si="3"/>
        <v>117.33100000000002</v>
      </c>
      <c r="O61" s="294"/>
    </row>
    <row r="62" spans="1:15" ht="16.149999999999999" customHeight="1">
      <c r="A62" s="280">
        <v>2028</v>
      </c>
      <c r="C62" s="275">
        <v>36.259</v>
      </c>
      <c r="D62" s="299">
        <v>30</v>
      </c>
      <c r="E62" s="295"/>
      <c r="F62" s="275">
        <v>0</v>
      </c>
      <c r="G62" s="295"/>
      <c r="H62" s="275">
        <v>0</v>
      </c>
      <c r="I62" s="295"/>
      <c r="J62" s="275">
        <v>17.8</v>
      </c>
      <c r="K62" s="301">
        <v>2.9</v>
      </c>
      <c r="L62" s="300">
        <v>24.1</v>
      </c>
      <c r="M62" s="297">
        <v>0</v>
      </c>
      <c r="N62" s="299">
        <f t="shared" si="3"/>
        <v>111.059</v>
      </c>
      <c r="O62" s="294"/>
    </row>
    <row r="63" spans="1:15" ht="16.149999999999999" customHeight="1">
      <c r="A63" s="280">
        <v>2029</v>
      </c>
      <c r="C63" s="275">
        <v>36.183999999999997</v>
      </c>
      <c r="D63" s="299">
        <v>30</v>
      </c>
      <c r="E63" s="295"/>
      <c r="F63" s="275">
        <v>0</v>
      </c>
      <c r="G63" s="295"/>
      <c r="H63" s="275">
        <v>0</v>
      </c>
      <c r="I63" s="295"/>
      <c r="J63" s="275">
        <v>17.8</v>
      </c>
      <c r="K63" s="301">
        <v>2.9</v>
      </c>
      <c r="L63" s="300">
        <v>18.8</v>
      </c>
      <c r="M63" s="297">
        <v>0</v>
      </c>
      <c r="N63" s="299">
        <f t="shared" si="3"/>
        <v>105.684</v>
      </c>
      <c r="O63" s="294"/>
    </row>
    <row r="64" spans="1:15" ht="16.149999999999999" customHeight="1">
      <c r="A64" s="280">
        <v>2030</v>
      </c>
      <c r="C64" s="275">
        <v>36.119</v>
      </c>
      <c r="D64" s="299">
        <v>30</v>
      </c>
      <c r="E64" s="295"/>
      <c r="F64" s="275">
        <v>0</v>
      </c>
      <c r="G64" s="295"/>
      <c r="H64" s="275">
        <v>0</v>
      </c>
      <c r="I64" s="295"/>
      <c r="J64" s="275">
        <v>17.8</v>
      </c>
      <c r="L64" s="300">
        <v>15.6</v>
      </c>
      <c r="M64" s="297">
        <v>0</v>
      </c>
      <c r="N64" s="299">
        <f t="shared" si="3"/>
        <v>99.518999999999991</v>
      </c>
      <c r="O64" s="294"/>
    </row>
    <row r="65" spans="1:15" ht="16.149999999999999" customHeight="1">
      <c r="A65" s="280">
        <v>2031</v>
      </c>
      <c r="C65" s="275">
        <v>23.561</v>
      </c>
      <c r="D65" s="299">
        <v>30</v>
      </c>
      <c r="E65" s="295"/>
      <c r="F65" s="275">
        <v>0</v>
      </c>
      <c r="G65" s="295"/>
      <c r="H65" s="275">
        <v>0</v>
      </c>
      <c r="I65" s="295"/>
      <c r="J65" s="275">
        <v>17.8</v>
      </c>
      <c r="L65" s="300">
        <v>13.1</v>
      </c>
      <c r="M65" s="297">
        <v>0</v>
      </c>
      <c r="N65" s="275">
        <f t="shared" si="3"/>
        <v>84.460999999999999</v>
      </c>
      <c r="O65" s="294"/>
    </row>
    <row r="66" spans="1:15" ht="16.149999999999999" customHeight="1">
      <c r="A66" s="280">
        <v>2032</v>
      </c>
      <c r="C66" s="275">
        <v>23.530999999999999</v>
      </c>
      <c r="D66" s="299">
        <v>30</v>
      </c>
      <c r="E66" s="295"/>
      <c r="F66" s="275">
        <v>0</v>
      </c>
      <c r="G66" s="295"/>
      <c r="H66" s="275">
        <v>0</v>
      </c>
      <c r="I66" s="295"/>
      <c r="J66" s="275">
        <v>17.8</v>
      </c>
      <c r="L66" s="297">
        <v>9.6999999999999993</v>
      </c>
      <c r="M66" s="297">
        <v>0</v>
      </c>
      <c r="N66" s="275">
        <f t="shared" si="3"/>
        <v>81.031000000000006</v>
      </c>
      <c r="O66" s="294"/>
    </row>
    <row r="67" spans="1:15" ht="16.149999999999999" customHeight="1">
      <c r="A67" s="280">
        <v>2033</v>
      </c>
      <c r="C67" s="275">
        <v>23.498000000000001</v>
      </c>
      <c r="D67" s="299">
        <v>30</v>
      </c>
      <c r="E67" s="295"/>
      <c r="F67" s="275">
        <v>0</v>
      </c>
      <c r="G67" s="295"/>
      <c r="H67" s="275">
        <v>0</v>
      </c>
      <c r="I67" s="295"/>
      <c r="J67" s="275">
        <v>17.8</v>
      </c>
      <c r="L67" s="297">
        <v>2.7</v>
      </c>
      <c r="M67" s="297">
        <v>0</v>
      </c>
      <c r="N67" s="275">
        <f t="shared" si="3"/>
        <v>73.998000000000005</v>
      </c>
      <c r="O67" s="294"/>
    </row>
    <row r="68" spans="1:15" ht="16.149999999999999" customHeight="1">
      <c r="A68" s="280">
        <v>2034</v>
      </c>
      <c r="C68" s="275">
        <v>23.468</v>
      </c>
      <c r="D68" s="299">
        <v>30</v>
      </c>
      <c r="E68" s="295"/>
      <c r="F68" s="275">
        <v>0</v>
      </c>
      <c r="G68" s="295"/>
      <c r="H68" s="275">
        <v>0</v>
      </c>
      <c r="I68" s="295"/>
      <c r="J68" s="275">
        <v>0</v>
      </c>
      <c r="L68" s="297">
        <v>0</v>
      </c>
      <c r="M68" s="297">
        <v>0</v>
      </c>
      <c r="N68" s="275">
        <f t="shared" si="3"/>
        <v>53.468000000000004</v>
      </c>
      <c r="O68" s="294"/>
    </row>
    <row r="69" spans="1:15" ht="16.149999999999999" customHeight="1">
      <c r="A69" s="280">
        <v>2035</v>
      </c>
      <c r="C69" s="275">
        <v>0.1</v>
      </c>
      <c r="D69" s="299">
        <v>30</v>
      </c>
      <c r="E69" s="295"/>
      <c r="F69" s="275">
        <v>0</v>
      </c>
      <c r="G69" s="295"/>
      <c r="H69" s="275">
        <v>0</v>
      </c>
      <c r="I69" s="295"/>
      <c r="J69" s="275">
        <v>0</v>
      </c>
      <c r="L69" s="297">
        <v>0</v>
      </c>
      <c r="M69" s="297">
        <v>0</v>
      </c>
      <c r="N69" s="275">
        <f t="shared" si="3"/>
        <v>30.1</v>
      </c>
      <c r="O69" s="294"/>
    </row>
    <row r="70" spans="1:15" ht="16.149999999999999" customHeight="1">
      <c r="A70" s="280">
        <v>2036</v>
      </c>
      <c r="C70" s="275">
        <v>0.1</v>
      </c>
      <c r="D70" s="299">
        <v>30</v>
      </c>
      <c r="E70" s="295"/>
      <c r="F70" s="275">
        <v>0</v>
      </c>
      <c r="G70" s="295"/>
      <c r="H70" s="275">
        <v>0</v>
      </c>
      <c r="I70" s="295"/>
      <c r="J70" s="275">
        <v>0</v>
      </c>
      <c r="L70" s="297">
        <v>0</v>
      </c>
      <c r="M70" s="297">
        <v>0</v>
      </c>
      <c r="N70" s="275">
        <f t="shared" si="3"/>
        <v>30.1</v>
      </c>
      <c r="O70" s="294"/>
    </row>
    <row r="71" spans="1:15" ht="16.149999999999999" customHeight="1">
      <c r="A71" s="280">
        <v>2037</v>
      </c>
      <c r="C71" s="275">
        <v>0.1</v>
      </c>
      <c r="D71" s="299">
        <v>15</v>
      </c>
      <c r="E71" s="295"/>
      <c r="F71" s="275">
        <v>0</v>
      </c>
      <c r="G71" s="295"/>
      <c r="H71" s="275">
        <v>0</v>
      </c>
      <c r="I71" s="295"/>
      <c r="J71" s="275">
        <v>0</v>
      </c>
      <c r="L71" s="297">
        <v>0</v>
      </c>
      <c r="M71" s="297">
        <v>0</v>
      </c>
      <c r="N71" s="275">
        <f t="shared" si="3"/>
        <v>15.1</v>
      </c>
      <c r="O71" s="294"/>
    </row>
    <row r="72" spans="1:15" ht="16.149999999999999" customHeight="1">
      <c r="A72" s="280">
        <v>2038</v>
      </c>
      <c r="C72" s="275">
        <v>11.961</v>
      </c>
      <c r="D72" s="299">
        <v>15</v>
      </c>
      <c r="E72" s="295"/>
      <c r="F72" s="275">
        <v>0</v>
      </c>
      <c r="G72" s="295"/>
      <c r="H72" s="275">
        <v>0</v>
      </c>
      <c r="I72" s="295"/>
      <c r="J72" s="275">
        <v>0</v>
      </c>
      <c r="L72" s="297">
        <v>0</v>
      </c>
      <c r="M72" s="297">
        <v>0</v>
      </c>
      <c r="N72" s="275">
        <f t="shared" si="3"/>
        <v>26.960999999999999</v>
      </c>
      <c r="O72" s="294"/>
    </row>
    <row r="73" spans="1:15" ht="16.149999999999999" customHeight="1">
      <c r="A73" s="280">
        <v>2039</v>
      </c>
      <c r="C73" s="275">
        <v>0</v>
      </c>
      <c r="D73" s="298"/>
      <c r="E73" s="295"/>
      <c r="F73" s="275">
        <v>0</v>
      </c>
      <c r="G73" s="295"/>
      <c r="H73" s="275">
        <v>0</v>
      </c>
      <c r="I73" s="295"/>
      <c r="J73" s="275">
        <v>0</v>
      </c>
      <c r="L73" s="297">
        <v>0</v>
      </c>
      <c r="M73" s="297">
        <v>0</v>
      </c>
      <c r="N73" s="275">
        <f t="shared" si="3"/>
        <v>0</v>
      </c>
      <c r="O73" s="294"/>
    </row>
    <row r="74" spans="1:15" ht="6" customHeight="1">
      <c r="C74" s="295"/>
      <c r="D74" s="295"/>
      <c r="E74" s="295"/>
      <c r="F74" s="296"/>
      <c r="G74" s="295"/>
      <c r="H74" s="295"/>
      <c r="I74" s="295"/>
      <c r="J74" s="295"/>
      <c r="K74" s="295"/>
      <c r="L74" s="295"/>
      <c r="M74" s="295"/>
      <c r="N74" s="295"/>
      <c r="O74" s="294"/>
    </row>
    <row r="75" spans="1:15" ht="11.25" customHeight="1">
      <c r="A75" s="292" t="s">
        <v>323</v>
      </c>
      <c r="B75" s="291"/>
      <c r="C75" s="289"/>
      <c r="D75" s="289"/>
      <c r="E75" s="289"/>
      <c r="F75" s="289"/>
      <c r="G75" s="289"/>
      <c r="H75" s="289"/>
      <c r="I75" s="289"/>
      <c r="J75" s="289"/>
      <c r="K75" s="289"/>
      <c r="L75" s="289"/>
      <c r="M75" s="289"/>
      <c r="N75" s="293"/>
    </row>
    <row r="76" spans="1:15" ht="9.75" customHeight="1">
      <c r="A76" s="292" t="s">
        <v>322</v>
      </c>
      <c r="B76" s="291"/>
      <c r="C76" s="289"/>
      <c r="D76" s="289"/>
      <c r="E76" s="289"/>
      <c r="F76" s="289"/>
      <c r="G76" s="289"/>
      <c r="H76" s="289"/>
      <c r="I76" s="289"/>
      <c r="J76" s="289"/>
      <c r="K76" s="289"/>
      <c r="L76" s="289"/>
      <c r="M76" s="288"/>
      <c r="N76" s="278"/>
    </row>
    <row r="77" spans="1:15" ht="9.75" customHeight="1">
      <c r="A77" s="292" t="s">
        <v>321</v>
      </c>
      <c r="B77" s="291"/>
      <c r="C77" s="289"/>
      <c r="D77" s="289"/>
      <c r="E77" s="289"/>
      <c r="F77" s="289"/>
      <c r="G77" s="289"/>
      <c r="H77" s="289"/>
      <c r="I77" s="289"/>
      <c r="J77" s="289"/>
      <c r="K77" s="289"/>
      <c r="L77" s="289"/>
      <c r="M77" s="288"/>
      <c r="N77" s="278"/>
    </row>
    <row r="78" spans="1:15" ht="9.75" customHeight="1">
      <c r="A78" s="292"/>
      <c r="B78" s="291"/>
      <c r="C78" s="289"/>
      <c r="D78" s="289"/>
      <c r="E78" s="289"/>
      <c r="F78" s="289"/>
      <c r="G78" s="289"/>
      <c r="H78" s="289"/>
      <c r="I78" s="289"/>
      <c r="J78" s="289"/>
      <c r="K78" s="289"/>
      <c r="L78" s="289"/>
      <c r="M78" s="288"/>
      <c r="N78" s="278"/>
    </row>
    <row r="79" spans="1:15" ht="9.75" customHeight="1">
      <c r="A79" s="292"/>
      <c r="B79" s="291"/>
      <c r="C79" s="289"/>
      <c r="D79" s="290" t="s">
        <v>320</v>
      </c>
      <c r="E79" s="289"/>
      <c r="F79" s="289"/>
      <c r="G79" s="289"/>
      <c r="H79" s="289"/>
      <c r="I79" s="289"/>
      <c r="J79" s="289"/>
      <c r="K79" s="289"/>
      <c r="L79" s="289"/>
      <c r="M79" s="288"/>
      <c r="N79" s="278"/>
    </row>
    <row r="80" spans="1:15">
      <c r="A80" s="287"/>
    </row>
    <row r="82" spans="1:14" ht="12" customHeight="1">
      <c r="A82" s="284" t="s">
        <v>319</v>
      </c>
      <c r="B82" s="284"/>
      <c r="C82" s="283"/>
      <c r="D82" s="283"/>
      <c r="E82" s="283"/>
      <c r="F82" s="283"/>
      <c r="G82" s="283"/>
      <c r="H82" s="283"/>
      <c r="I82" s="283"/>
      <c r="J82" s="283"/>
      <c r="K82" s="283"/>
      <c r="L82" s="283"/>
      <c r="M82" s="283"/>
      <c r="N82" s="283"/>
    </row>
    <row r="83" spans="1:14" ht="12" customHeight="1">
      <c r="A83" s="284" t="s">
        <v>318</v>
      </c>
      <c r="B83" s="284"/>
      <c r="C83" s="283"/>
      <c r="D83" s="283"/>
      <c r="E83" s="283"/>
      <c r="F83" s="283"/>
      <c r="G83" s="283"/>
      <c r="H83" s="283"/>
      <c r="I83" s="283"/>
      <c r="J83" s="283"/>
      <c r="K83" s="283"/>
      <c r="L83" s="283"/>
      <c r="M83" s="283"/>
      <c r="N83" s="283"/>
    </row>
    <row r="84" spans="1:14" ht="12" customHeight="1">
      <c r="A84" s="286" t="s">
        <v>317</v>
      </c>
      <c r="B84" s="286"/>
      <c r="C84" s="283"/>
      <c r="D84" s="283"/>
      <c r="E84" s="283"/>
      <c r="F84" s="283"/>
      <c r="G84" s="283"/>
      <c r="H84" s="283"/>
      <c r="I84" s="283"/>
      <c r="J84" s="283"/>
      <c r="K84" s="283"/>
      <c r="L84" s="283"/>
      <c r="M84" s="283"/>
      <c r="N84" s="283"/>
    </row>
    <row r="85" spans="1:14" ht="12" customHeight="1">
      <c r="A85" s="285" t="s">
        <v>316</v>
      </c>
      <c r="B85" s="284"/>
      <c r="C85" s="283"/>
      <c r="D85" s="283"/>
      <c r="E85" s="283"/>
      <c r="F85" s="283"/>
      <c r="G85" s="283"/>
      <c r="H85" s="283"/>
      <c r="I85" s="283"/>
      <c r="J85" s="283"/>
      <c r="K85" s="283"/>
      <c r="L85" s="283"/>
      <c r="M85" s="283"/>
      <c r="N85" s="283"/>
    </row>
    <row r="86" spans="1:14" s="281" customFormat="1" ht="12" customHeight="1">
      <c r="A86" s="281" t="s">
        <v>315</v>
      </c>
      <c r="C86" s="282" t="s">
        <v>314</v>
      </c>
      <c r="D86" s="282"/>
      <c r="E86" s="282"/>
      <c r="F86" s="282" t="s">
        <v>313</v>
      </c>
      <c r="G86" s="282"/>
      <c r="H86" s="282" t="s">
        <v>312</v>
      </c>
      <c r="I86" s="282"/>
      <c r="J86" s="281" t="s">
        <v>311</v>
      </c>
      <c r="L86" s="281" t="s">
        <v>310</v>
      </c>
      <c r="M86" s="281" t="s">
        <v>309</v>
      </c>
      <c r="N86" s="282" t="s">
        <v>308</v>
      </c>
    </row>
  </sheetData>
  <sheetProtection password="CC29" sheet="1" objects="1" scenarios="1"/>
  <printOptions horizontalCentered="1" gridLines="1" gridLinesSet="0"/>
  <pageMargins left="0.75" right="0.75" top="0.75" bottom="0.5" header="0.5" footer="0.5"/>
  <pageSetup scale="75" orientation="portrait" horizontalDpi="4294967292"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C1:R8"/>
  <sheetViews>
    <sheetView workbookViewId="0">
      <selection activeCell="I29" sqref="I29"/>
    </sheetView>
  </sheetViews>
  <sheetFormatPr defaultRowHeight="15"/>
  <cols>
    <col min="3" max="3" width="13.85546875" bestFit="1" customWidth="1"/>
  </cols>
  <sheetData>
    <row r="1" spans="3:18">
      <c r="D1">
        <v>2016</v>
      </c>
      <c r="E1">
        <f>D1+1</f>
        <v>2017</v>
      </c>
      <c r="F1">
        <f t="shared" ref="F1:R1" si="0">E1+1</f>
        <v>2018</v>
      </c>
      <c r="G1">
        <f t="shared" si="0"/>
        <v>2019</v>
      </c>
      <c r="H1">
        <f t="shared" si="0"/>
        <v>2020</v>
      </c>
      <c r="I1">
        <f t="shared" si="0"/>
        <v>2021</v>
      </c>
      <c r="J1">
        <f t="shared" si="0"/>
        <v>2022</v>
      </c>
      <c r="K1">
        <f t="shared" si="0"/>
        <v>2023</v>
      </c>
      <c r="L1">
        <f t="shared" si="0"/>
        <v>2024</v>
      </c>
      <c r="M1">
        <f t="shared" si="0"/>
        <v>2025</v>
      </c>
      <c r="N1">
        <f t="shared" si="0"/>
        <v>2026</v>
      </c>
      <c r="O1">
        <f t="shared" si="0"/>
        <v>2027</v>
      </c>
      <c r="P1">
        <f t="shared" si="0"/>
        <v>2028</v>
      </c>
      <c r="Q1">
        <f t="shared" si="0"/>
        <v>2029</v>
      </c>
      <c r="R1">
        <f t="shared" si="0"/>
        <v>2030</v>
      </c>
    </row>
    <row r="2" spans="3:18">
      <c r="D2">
        <f>D7</f>
        <v>80</v>
      </c>
      <c r="E2">
        <f>D2*(1+$D$8)</f>
        <v>81.8</v>
      </c>
      <c r="F2">
        <f t="shared" ref="F2:R2" si="1">E2*(1+$D$8)</f>
        <v>83.640499999999989</v>
      </c>
      <c r="G2">
        <f t="shared" si="1"/>
        <v>85.52241124999999</v>
      </c>
      <c r="H2">
        <f t="shared" si="1"/>
        <v>87.44666550312499</v>
      </c>
      <c r="I2">
        <f t="shared" si="1"/>
        <v>89.414215476945301</v>
      </c>
      <c r="J2">
        <f t="shared" si="1"/>
        <v>91.426035325176571</v>
      </c>
      <c r="K2">
        <f t="shared" si="1"/>
        <v>93.483121119993044</v>
      </c>
      <c r="L2">
        <f t="shared" si="1"/>
        <v>95.586491345192883</v>
      </c>
      <c r="M2">
        <f t="shared" si="1"/>
        <v>97.737187400459717</v>
      </c>
      <c r="N2">
        <f t="shared" si="1"/>
        <v>99.936274116970054</v>
      </c>
      <c r="O2">
        <f t="shared" si="1"/>
        <v>102.18484028460188</v>
      </c>
      <c r="P2">
        <f t="shared" si="1"/>
        <v>104.48399919100541</v>
      </c>
      <c r="Q2">
        <f t="shared" si="1"/>
        <v>106.83488917280303</v>
      </c>
      <c r="R2">
        <f t="shared" si="1"/>
        <v>109.23867417919109</v>
      </c>
    </row>
    <row r="7" spans="3:18">
      <c r="C7" t="s">
        <v>668</v>
      </c>
      <c r="D7">
        <v>80</v>
      </c>
    </row>
    <row r="8" spans="3:18">
      <c r="C8" t="s">
        <v>541</v>
      </c>
      <c r="D8" s="113">
        <f>Graphs!C5</f>
        <v>2.2499999999999999E-2</v>
      </c>
    </row>
  </sheetData>
  <sheetProtection password="CC29" sheet="1" objects="1" scenarios="1" selectLockedCells="1" selectUnlockedCells="1"/>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R12"/>
  <sheetViews>
    <sheetView topLeftCell="A7" workbookViewId="0">
      <selection activeCell="B6" sqref="B6:S6"/>
    </sheetView>
  </sheetViews>
  <sheetFormatPr defaultRowHeight="15"/>
  <cols>
    <col min="2" max="2" width="13.42578125" bestFit="1" customWidth="1"/>
  </cols>
  <sheetData>
    <row r="1" spans="1:18">
      <c r="A1" t="s">
        <v>821</v>
      </c>
    </row>
    <row r="2" spans="1:18">
      <c r="C2">
        <v>2015</v>
      </c>
      <c r="D2">
        <v>2016</v>
      </c>
      <c r="E2">
        <v>2017</v>
      </c>
      <c r="F2">
        <v>2018</v>
      </c>
      <c r="G2">
        <v>2019</v>
      </c>
      <c r="H2">
        <v>2020</v>
      </c>
      <c r="I2">
        <v>2021</v>
      </c>
      <c r="J2">
        <v>2022</v>
      </c>
      <c r="K2">
        <v>2023</v>
      </c>
      <c r="L2">
        <v>2024</v>
      </c>
      <c r="M2">
        <v>2025</v>
      </c>
      <c r="N2">
        <v>2026</v>
      </c>
      <c r="O2">
        <v>2027</v>
      </c>
      <c r="P2">
        <v>2028</v>
      </c>
      <c r="Q2">
        <v>2029</v>
      </c>
      <c r="R2">
        <v>2030</v>
      </c>
    </row>
    <row r="3" spans="1:18">
      <c r="B3" t="s">
        <v>823</v>
      </c>
      <c r="C3">
        <v>0</v>
      </c>
      <c r="D3">
        <v>0</v>
      </c>
      <c r="E3">
        <v>0</v>
      </c>
      <c r="F3">
        <v>39.799999999999997</v>
      </c>
      <c r="G3">
        <v>23.3</v>
      </c>
      <c r="H3">
        <v>23.3</v>
      </c>
      <c r="I3">
        <v>23.3</v>
      </c>
      <c r="J3">
        <v>23.3</v>
      </c>
      <c r="K3">
        <v>23.3</v>
      </c>
      <c r="L3">
        <v>23.3</v>
      </c>
      <c r="M3">
        <v>23.3</v>
      </c>
      <c r="N3">
        <v>23.3</v>
      </c>
      <c r="O3">
        <v>23.3</v>
      </c>
      <c r="P3">
        <v>23.3</v>
      </c>
      <c r="Q3">
        <v>23.3</v>
      </c>
      <c r="R3">
        <v>23.3</v>
      </c>
    </row>
    <row r="4" spans="1:18">
      <c r="B4" t="s">
        <v>822</v>
      </c>
      <c r="C4">
        <v>0</v>
      </c>
      <c r="D4">
        <v>0</v>
      </c>
      <c r="E4">
        <v>16.5</v>
      </c>
      <c r="F4">
        <v>0</v>
      </c>
      <c r="G4">
        <v>0</v>
      </c>
      <c r="H4">
        <v>0</v>
      </c>
      <c r="I4">
        <v>0</v>
      </c>
      <c r="J4">
        <v>0</v>
      </c>
      <c r="K4">
        <v>0</v>
      </c>
      <c r="L4">
        <v>0</v>
      </c>
      <c r="M4">
        <v>0</v>
      </c>
      <c r="N4">
        <v>0</v>
      </c>
      <c r="O4">
        <v>0</v>
      </c>
      <c r="P4">
        <v>0</v>
      </c>
      <c r="Q4">
        <v>0</v>
      </c>
      <c r="R4">
        <v>0</v>
      </c>
    </row>
    <row r="5" spans="1:18">
      <c r="B5" t="s">
        <v>829</v>
      </c>
      <c r="C5">
        <f>C3-C4</f>
        <v>0</v>
      </c>
      <c r="D5">
        <f t="shared" ref="D5:R5" si="0">D3-D4</f>
        <v>0</v>
      </c>
      <c r="E5">
        <f t="shared" si="0"/>
        <v>-16.5</v>
      </c>
      <c r="F5">
        <f t="shared" si="0"/>
        <v>39.799999999999997</v>
      </c>
      <c r="G5">
        <f t="shared" si="0"/>
        <v>23.3</v>
      </c>
      <c r="H5">
        <f t="shared" si="0"/>
        <v>23.3</v>
      </c>
      <c r="I5">
        <f t="shared" si="0"/>
        <v>23.3</v>
      </c>
      <c r="J5">
        <f t="shared" si="0"/>
        <v>23.3</v>
      </c>
      <c r="K5">
        <f t="shared" si="0"/>
        <v>23.3</v>
      </c>
      <c r="L5">
        <f t="shared" si="0"/>
        <v>23.3</v>
      </c>
      <c r="M5">
        <f t="shared" si="0"/>
        <v>23.3</v>
      </c>
      <c r="N5">
        <f t="shared" si="0"/>
        <v>23.3</v>
      </c>
      <c r="O5">
        <f t="shared" si="0"/>
        <v>23.3</v>
      </c>
      <c r="P5">
        <f t="shared" si="0"/>
        <v>23.3</v>
      </c>
      <c r="Q5">
        <f t="shared" si="0"/>
        <v>23.3</v>
      </c>
      <c r="R5">
        <f t="shared" si="0"/>
        <v>23.3</v>
      </c>
    </row>
    <row r="8" spans="1:18">
      <c r="A8" t="s">
        <v>828</v>
      </c>
    </row>
    <row r="9" spans="1:18">
      <c r="C9">
        <v>2015</v>
      </c>
      <c r="D9">
        <v>2016</v>
      </c>
      <c r="E9">
        <v>2017</v>
      </c>
      <c r="F9">
        <v>2018</v>
      </c>
      <c r="G9">
        <v>2019</v>
      </c>
      <c r="H9">
        <v>2020</v>
      </c>
      <c r="I9">
        <v>2021</v>
      </c>
      <c r="J9">
        <v>2022</v>
      </c>
      <c r="K9">
        <v>2023</v>
      </c>
      <c r="L9">
        <v>2024</v>
      </c>
      <c r="M9">
        <v>2025</v>
      </c>
      <c r="N9">
        <v>2026</v>
      </c>
      <c r="O9">
        <v>2027</v>
      </c>
      <c r="P9">
        <v>2028</v>
      </c>
      <c r="Q9">
        <v>2029</v>
      </c>
      <c r="R9">
        <v>2030</v>
      </c>
    </row>
    <row r="10" spans="1:18">
      <c r="B10" t="s">
        <v>823</v>
      </c>
      <c r="C10">
        <v>0</v>
      </c>
      <c r="D10">
        <v>0</v>
      </c>
      <c r="E10">
        <v>0</v>
      </c>
      <c r="F10">
        <v>0</v>
      </c>
      <c r="G10">
        <v>0</v>
      </c>
      <c r="H10">
        <v>0</v>
      </c>
      <c r="I10">
        <v>0</v>
      </c>
      <c r="J10">
        <v>0</v>
      </c>
      <c r="K10">
        <v>2.7</v>
      </c>
      <c r="L10">
        <v>2.7</v>
      </c>
      <c r="M10">
        <v>2.7</v>
      </c>
      <c r="N10">
        <v>2.7</v>
      </c>
      <c r="O10">
        <v>2.7</v>
      </c>
      <c r="P10">
        <v>2.7</v>
      </c>
      <c r="Q10">
        <v>2.7</v>
      </c>
      <c r="R10">
        <v>2.7</v>
      </c>
    </row>
    <row r="11" spans="1:18">
      <c r="B11" t="s">
        <v>822</v>
      </c>
      <c r="C11">
        <v>0</v>
      </c>
      <c r="D11">
        <v>0</v>
      </c>
      <c r="E11">
        <v>0</v>
      </c>
      <c r="F11">
        <v>0</v>
      </c>
      <c r="G11">
        <v>0</v>
      </c>
      <c r="H11">
        <v>0</v>
      </c>
      <c r="I11">
        <v>0</v>
      </c>
      <c r="J11">
        <v>0</v>
      </c>
      <c r="K11">
        <v>5</v>
      </c>
      <c r="L11">
        <v>4.9999999999999982</v>
      </c>
      <c r="M11">
        <v>4.9999999999999982</v>
      </c>
      <c r="N11">
        <v>4.9999999999999982</v>
      </c>
      <c r="O11">
        <v>4.9999999999999982</v>
      </c>
      <c r="P11">
        <v>4.9999999999999982</v>
      </c>
      <c r="Q11">
        <v>4.9999999999999982</v>
      </c>
      <c r="R11">
        <v>4.9999999999999982</v>
      </c>
    </row>
    <row r="12" spans="1:18">
      <c r="B12" t="s">
        <v>829</v>
      </c>
      <c r="C12">
        <f>C10-C11</f>
        <v>0</v>
      </c>
      <c r="D12">
        <f t="shared" ref="D12:R12" si="1">D10-D11</f>
        <v>0</v>
      </c>
      <c r="E12">
        <f t="shared" si="1"/>
        <v>0</v>
      </c>
      <c r="F12">
        <f t="shared" si="1"/>
        <v>0</v>
      </c>
      <c r="G12">
        <f t="shared" si="1"/>
        <v>0</v>
      </c>
      <c r="H12">
        <f t="shared" si="1"/>
        <v>0</v>
      </c>
      <c r="I12">
        <f t="shared" si="1"/>
        <v>0</v>
      </c>
      <c r="J12">
        <f t="shared" si="1"/>
        <v>0</v>
      </c>
      <c r="K12">
        <f t="shared" si="1"/>
        <v>-2.2999999999999998</v>
      </c>
      <c r="L12">
        <f t="shared" si="1"/>
        <v>-2.299999999999998</v>
      </c>
      <c r="M12">
        <f t="shared" si="1"/>
        <v>-2.299999999999998</v>
      </c>
      <c r="N12">
        <f t="shared" si="1"/>
        <v>-2.299999999999998</v>
      </c>
      <c r="O12">
        <f t="shared" si="1"/>
        <v>-2.299999999999998</v>
      </c>
      <c r="P12">
        <f t="shared" si="1"/>
        <v>-2.299999999999998</v>
      </c>
      <c r="Q12">
        <f t="shared" si="1"/>
        <v>-2.299999999999998</v>
      </c>
      <c r="R12">
        <f t="shared" si="1"/>
        <v>-2.299999999999998</v>
      </c>
    </row>
  </sheetData>
  <sheetProtection password="CC29" sheet="1" objects="1" scenarios="1"/>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T123"/>
  <sheetViews>
    <sheetView topLeftCell="B10" workbookViewId="0">
      <selection activeCell="B34" sqref="B34"/>
    </sheetView>
  </sheetViews>
  <sheetFormatPr defaultRowHeight="15"/>
  <cols>
    <col min="1" max="1" width="62.140625" bestFit="1" customWidth="1"/>
    <col min="2" max="2" width="13.5703125" bestFit="1" customWidth="1"/>
    <col min="3" max="3" width="9.140625" customWidth="1"/>
    <col min="4" max="4" width="13.28515625" bestFit="1" customWidth="1"/>
    <col min="5" max="5" width="13.7109375" bestFit="1" customWidth="1"/>
    <col min="6" max="6" width="13.85546875" bestFit="1" customWidth="1"/>
    <col min="7" max="7" width="13.42578125" bestFit="1" customWidth="1"/>
    <col min="8" max="20" width="12.28515625" bestFit="1" customWidth="1"/>
    <col min="28" max="28" width="10.5703125" customWidth="1"/>
    <col min="29" max="29" width="52" customWidth="1"/>
    <col min="30" max="30" width="30.42578125" customWidth="1"/>
    <col min="32" max="32" width="9.140625" customWidth="1"/>
  </cols>
  <sheetData>
    <row r="1" spans="1:20" ht="14.25" customHeight="1"/>
    <row r="2" spans="1:20">
      <c r="B2" s="114"/>
      <c r="C2" s="114"/>
      <c r="D2" s="114"/>
      <c r="E2" s="114"/>
    </row>
    <row r="3" spans="1:20">
      <c r="B3" s="382"/>
      <c r="F3" s="11">
        <f>100%-F42</f>
        <v>1</v>
      </c>
      <c r="G3" s="11">
        <f t="shared" ref="G3:T3" si="0">100%-G42</f>
        <v>1</v>
      </c>
      <c r="H3" s="11">
        <f t="shared" si="0"/>
        <v>1</v>
      </c>
      <c r="I3" s="11">
        <f t="shared" si="0"/>
        <v>1</v>
      </c>
      <c r="J3" s="11">
        <f t="shared" si="0"/>
        <v>1</v>
      </c>
      <c r="K3" s="11">
        <f t="shared" si="0"/>
        <v>1</v>
      </c>
      <c r="L3" s="11">
        <f t="shared" si="0"/>
        <v>1</v>
      </c>
      <c r="M3" s="11">
        <f t="shared" si="0"/>
        <v>1</v>
      </c>
      <c r="N3" s="11">
        <f t="shared" si="0"/>
        <v>1</v>
      </c>
      <c r="O3" s="11">
        <f t="shared" si="0"/>
        <v>1</v>
      </c>
      <c r="P3" s="11">
        <f t="shared" si="0"/>
        <v>1</v>
      </c>
      <c r="Q3" s="11">
        <f t="shared" si="0"/>
        <v>1</v>
      </c>
      <c r="R3" s="11">
        <f t="shared" si="0"/>
        <v>1</v>
      </c>
      <c r="S3" s="11">
        <f t="shared" si="0"/>
        <v>1</v>
      </c>
      <c r="T3" s="11">
        <f t="shared" si="0"/>
        <v>1</v>
      </c>
    </row>
    <row r="4" spans="1:20">
      <c r="A4" s="383" t="s">
        <v>461</v>
      </c>
      <c r="B4" s="384"/>
      <c r="C4" s="384"/>
      <c r="D4" s="384"/>
      <c r="E4" s="384"/>
      <c r="F4" s="385"/>
      <c r="G4" s="385"/>
      <c r="H4" s="385"/>
      <c r="I4" s="385"/>
      <c r="J4" s="385"/>
      <c r="K4" s="385"/>
      <c r="L4" s="385"/>
      <c r="M4" s="385"/>
      <c r="N4" s="385"/>
      <c r="O4" s="385"/>
      <c r="P4" s="385"/>
      <c r="Q4" s="385"/>
      <c r="R4" s="385"/>
      <c r="S4" s="385"/>
      <c r="T4" s="385"/>
    </row>
    <row r="5" spans="1:20">
      <c r="A5" s="383" t="s">
        <v>463</v>
      </c>
      <c r="B5" s="383"/>
      <c r="C5" s="383"/>
      <c r="D5" s="383"/>
      <c r="E5" s="383"/>
      <c r="F5" s="386">
        <f>-(F35-F36)/F36</f>
        <v>9.2855280180222429E-3</v>
      </c>
      <c r="G5" s="386">
        <f>-(G35-G36)/G36</f>
        <v>1.2971212040343665E-2</v>
      </c>
      <c r="H5" s="386">
        <f>-(H35-H36)/H36</f>
        <v>1.297121204034358E-2</v>
      </c>
      <c r="I5" s="386">
        <f t="shared" ref="I5:T5" si="1">-(I35-I36)/I36</f>
        <v>1.2971212040343559E-2</v>
      </c>
      <c r="J5" s="386">
        <f t="shared" si="1"/>
        <v>1.2971212040343712E-2</v>
      </c>
      <c r="K5" s="386">
        <f t="shared" si="1"/>
        <v>1.2971212040343608E-2</v>
      </c>
      <c r="L5" s="386">
        <f t="shared" si="1"/>
        <v>1.2971212040343528E-2</v>
      </c>
      <c r="M5" s="386">
        <f t="shared" si="1"/>
        <v>1.2971212040343729E-2</v>
      </c>
      <c r="N5" s="386">
        <f t="shared" si="1"/>
        <v>1.2971212040343592E-2</v>
      </c>
      <c r="O5" s="386">
        <f t="shared" si="1"/>
        <v>1.2971212040343655E-2</v>
      </c>
      <c r="P5" s="386">
        <f t="shared" si="1"/>
        <v>1.2971212040343759E-2</v>
      </c>
      <c r="Q5" s="386">
        <f t="shared" si="1"/>
        <v>1.2971212040343497E-2</v>
      </c>
      <c r="R5" s="386">
        <f t="shared" si="1"/>
        <v>1.2971212040343629E-2</v>
      </c>
      <c r="S5" s="386">
        <f t="shared" si="1"/>
        <v>1.2971212040343469E-2</v>
      </c>
      <c r="T5" s="386">
        <f t="shared" si="1"/>
        <v>1.2971212040343757E-2</v>
      </c>
    </row>
    <row r="6" spans="1:20">
      <c r="D6" s="29" t="s">
        <v>466</v>
      </c>
      <c r="E6" s="29" t="s">
        <v>800</v>
      </c>
      <c r="F6" s="29">
        <v>2016</v>
      </c>
      <c r="G6" s="29">
        <v>2017</v>
      </c>
      <c r="H6" s="29">
        <v>2018</v>
      </c>
      <c r="I6" s="29">
        <v>2019</v>
      </c>
      <c r="J6" s="29">
        <v>2020</v>
      </c>
      <c r="K6" s="29">
        <v>2021</v>
      </c>
      <c r="L6" s="29">
        <v>2022</v>
      </c>
      <c r="M6" s="29">
        <v>2023</v>
      </c>
      <c r="N6" s="29">
        <v>2024</v>
      </c>
      <c r="O6" s="29">
        <v>2025</v>
      </c>
      <c r="P6" s="29">
        <v>2026</v>
      </c>
      <c r="Q6" s="29">
        <v>2027</v>
      </c>
      <c r="R6" s="29">
        <v>2028</v>
      </c>
      <c r="S6" s="29">
        <v>2029</v>
      </c>
      <c r="T6" s="29">
        <v>2030</v>
      </c>
    </row>
    <row r="7" spans="1:20">
      <c r="A7" s="114" t="s">
        <v>468</v>
      </c>
      <c r="C7" s="349">
        <f>100%-F43</f>
        <v>1</v>
      </c>
      <c r="D7" s="387">
        <v>86890.4</v>
      </c>
      <c r="E7" s="387">
        <v>77609.600000000006</v>
      </c>
      <c r="F7" s="388">
        <f>E7</f>
        <v>77609.600000000006</v>
      </c>
      <c r="G7" s="388">
        <f t="shared" ref="G7" si="2">F7*G$3*$C7*$B$45</f>
        <v>79355.816000000006</v>
      </c>
      <c r="H7" s="388">
        <f>G7*H$3*$B$45</f>
        <v>81141.321859999996</v>
      </c>
      <c r="I7" s="388">
        <f t="shared" ref="I7:T7" si="3">H7*I$3*$B$45</f>
        <v>82967.001601849988</v>
      </c>
      <c r="J7" s="388">
        <f t="shared" si="3"/>
        <v>84833.759137891611</v>
      </c>
      <c r="K7" s="388">
        <f t="shared" si="3"/>
        <v>86742.518718494175</v>
      </c>
      <c r="L7" s="388">
        <f t="shared" si="3"/>
        <v>88694.225389660292</v>
      </c>
      <c r="M7" s="388">
        <f t="shared" si="3"/>
        <v>90689.845460927652</v>
      </c>
      <c r="N7" s="388">
        <f t="shared" si="3"/>
        <v>92730.366983798522</v>
      </c>
      <c r="O7" s="388">
        <f t="shared" si="3"/>
        <v>94816.800240933982</v>
      </c>
      <c r="P7" s="388">
        <f t="shared" si="3"/>
        <v>96950.17824635499</v>
      </c>
      <c r="Q7" s="388">
        <f t="shared" si="3"/>
        <v>99131.55725689797</v>
      </c>
      <c r="R7" s="388">
        <f t="shared" si="3"/>
        <v>101362.01729517817</v>
      </c>
      <c r="S7" s="388">
        <f t="shared" si="3"/>
        <v>103642.66268431967</v>
      </c>
      <c r="T7" s="388">
        <f t="shared" si="3"/>
        <v>105974.62259471686</v>
      </c>
    </row>
    <row r="8" spans="1:20">
      <c r="A8" s="114" t="s">
        <v>470</v>
      </c>
      <c r="C8" s="349">
        <f t="shared" ref="C8:C25" si="4">100%-F44</f>
        <v>1</v>
      </c>
      <c r="D8" s="387">
        <v>47944.3</v>
      </c>
      <c r="E8" s="387">
        <v>27673.1</v>
      </c>
      <c r="F8" s="388">
        <f t="shared" ref="F8:F25" si="5">E8</f>
        <v>27673.1</v>
      </c>
      <c r="G8" s="388">
        <f t="shared" ref="G8" si="6">F8*G$3*$C8*$B$45</f>
        <v>28295.744749999998</v>
      </c>
      <c r="H8" s="388">
        <f t="shared" ref="H8:T8" si="7">G8*H$3*$B$45</f>
        <v>28932.399006874995</v>
      </c>
      <c r="I8" s="388">
        <f t="shared" si="7"/>
        <v>29583.377984529681</v>
      </c>
      <c r="J8" s="388">
        <f t="shared" si="7"/>
        <v>30249.003989181598</v>
      </c>
      <c r="K8" s="388">
        <f t="shared" si="7"/>
        <v>30929.606578938183</v>
      </c>
      <c r="L8" s="388">
        <f t="shared" si="7"/>
        <v>31625.522726964289</v>
      </c>
      <c r="M8" s="388">
        <f t="shared" si="7"/>
        <v>32337.096988320984</v>
      </c>
      <c r="N8" s="388">
        <f t="shared" si="7"/>
        <v>33064.681670558202</v>
      </c>
      <c r="O8" s="388">
        <f t="shared" si="7"/>
        <v>33808.637008145757</v>
      </c>
      <c r="P8" s="388">
        <f t="shared" si="7"/>
        <v>34569.331340829034</v>
      </c>
      <c r="Q8" s="388">
        <f t="shared" si="7"/>
        <v>35347.141295997688</v>
      </c>
      <c r="R8" s="388">
        <f t="shared" si="7"/>
        <v>36142.451975157637</v>
      </c>
      <c r="S8" s="388">
        <f t="shared" si="7"/>
        <v>36955.657144598685</v>
      </c>
      <c r="T8" s="388">
        <f t="shared" si="7"/>
        <v>37787.159430352156</v>
      </c>
    </row>
    <row r="9" spans="1:20">
      <c r="A9" s="114" t="s">
        <v>472</v>
      </c>
      <c r="C9" s="349">
        <f t="shared" si="4"/>
        <v>0.94</v>
      </c>
      <c r="D9" s="387">
        <v>290833.5</v>
      </c>
      <c r="E9" s="387">
        <v>276992.09999999998</v>
      </c>
      <c r="F9" s="388">
        <f t="shared" si="5"/>
        <v>276992.09999999998</v>
      </c>
      <c r="G9" s="388">
        <f t="shared" ref="G9" si="8">F9*G$3*$C9*$B$45</f>
        <v>266230.95691499993</v>
      </c>
      <c r="H9" s="388">
        <f t="shared" ref="H9:T9" si="9">G9*H$3*$B$45</f>
        <v>272221.15344558744</v>
      </c>
      <c r="I9" s="388">
        <f t="shared" si="9"/>
        <v>278346.12939811312</v>
      </c>
      <c r="J9" s="388">
        <f t="shared" si="9"/>
        <v>284608.91730957065</v>
      </c>
      <c r="K9" s="388">
        <f t="shared" si="9"/>
        <v>291012.61794903601</v>
      </c>
      <c r="L9" s="388">
        <f t="shared" si="9"/>
        <v>297560.40185288934</v>
      </c>
      <c r="M9" s="388">
        <f t="shared" si="9"/>
        <v>304255.51089457935</v>
      </c>
      <c r="N9" s="388">
        <f t="shared" si="9"/>
        <v>311101.25988970738</v>
      </c>
      <c r="O9" s="388">
        <f t="shared" si="9"/>
        <v>318101.03823722579</v>
      </c>
      <c r="P9" s="388">
        <f t="shared" si="9"/>
        <v>325258.31159756338</v>
      </c>
      <c r="Q9" s="388">
        <f t="shared" si="9"/>
        <v>332576.62360850855</v>
      </c>
      <c r="R9" s="388">
        <f t="shared" si="9"/>
        <v>340059.59763969999</v>
      </c>
      <c r="S9" s="388">
        <f t="shared" si="9"/>
        <v>347710.93858659326</v>
      </c>
      <c r="T9" s="388">
        <f t="shared" si="9"/>
        <v>355534.43470479158</v>
      </c>
    </row>
    <row r="10" spans="1:20">
      <c r="A10" s="114" t="s">
        <v>474</v>
      </c>
      <c r="C10" s="349">
        <f t="shared" si="4"/>
        <v>1</v>
      </c>
      <c r="D10" s="387">
        <v>1280080.5</v>
      </c>
      <c r="E10" s="387">
        <v>1302167.8999999999</v>
      </c>
      <c r="F10" s="388">
        <f t="shared" si="5"/>
        <v>1302167.8999999999</v>
      </c>
      <c r="G10" s="388">
        <f t="shared" ref="G10" si="10">F10*G$3*$C10*$B$45</f>
        <v>1331466.6777499998</v>
      </c>
      <c r="H10" s="388">
        <f t="shared" ref="H10:T10" si="11">G10*H$3*$B$45</f>
        <v>1361424.6779993747</v>
      </c>
      <c r="I10" s="388">
        <f t="shared" si="11"/>
        <v>1392056.7332543605</v>
      </c>
      <c r="J10" s="388">
        <f t="shared" si="11"/>
        <v>1423378.0097525835</v>
      </c>
      <c r="K10" s="388">
        <f t="shared" si="11"/>
        <v>1455404.0149720164</v>
      </c>
      <c r="L10" s="388">
        <f t="shared" si="11"/>
        <v>1488150.6053088869</v>
      </c>
      <c r="M10" s="388">
        <f t="shared" si="11"/>
        <v>1521633.9939283368</v>
      </c>
      <c r="N10" s="388">
        <f t="shared" si="11"/>
        <v>1555870.7587917242</v>
      </c>
      <c r="O10" s="388">
        <f t="shared" si="11"/>
        <v>1590877.850864538</v>
      </c>
      <c r="P10" s="388">
        <f t="shared" si="11"/>
        <v>1626672.6025089901</v>
      </c>
      <c r="Q10" s="388">
        <f t="shared" si="11"/>
        <v>1663272.7360654422</v>
      </c>
      <c r="R10" s="388">
        <f t="shared" si="11"/>
        <v>1700696.3726269146</v>
      </c>
      <c r="S10" s="388">
        <f t="shared" si="11"/>
        <v>1738962.0410110201</v>
      </c>
      <c r="T10" s="388">
        <f t="shared" si="11"/>
        <v>1778088.686933768</v>
      </c>
    </row>
    <row r="11" spans="1:20">
      <c r="A11" s="114" t="s">
        <v>476</v>
      </c>
      <c r="C11" s="349">
        <f t="shared" si="4"/>
        <v>0.98</v>
      </c>
      <c r="D11" s="387">
        <v>23560.2</v>
      </c>
      <c r="E11" s="387">
        <v>20431</v>
      </c>
      <c r="F11" s="388">
        <f t="shared" si="5"/>
        <v>20431</v>
      </c>
      <c r="G11" s="388">
        <f t="shared" ref="G11" si="12">F11*G$3*$C11*$B$45</f>
        <v>20472.883549999999</v>
      </c>
      <c r="H11" s="388">
        <f t="shared" ref="H11:T11" si="13">G11*H$3*$B$45</f>
        <v>20933.523429874997</v>
      </c>
      <c r="I11" s="388">
        <f t="shared" si="13"/>
        <v>21404.527707047182</v>
      </c>
      <c r="J11" s="388">
        <f t="shared" si="13"/>
        <v>21886.129580455741</v>
      </c>
      <c r="K11" s="388">
        <f t="shared" si="13"/>
        <v>22378.567496015996</v>
      </c>
      <c r="L11" s="388">
        <f t="shared" si="13"/>
        <v>22882.085264676356</v>
      </c>
      <c r="M11" s="388">
        <f t="shared" si="13"/>
        <v>23396.932183131572</v>
      </c>
      <c r="N11" s="388">
        <f t="shared" si="13"/>
        <v>23923.363157252032</v>
      </c>
      <c r="O11" s="388">
        <f t="shared" si="13"/>
        <v>24461.638828290201</v>
      </c>
      <c r="P11" s="388">
        <f t="shared" si="13"/>
        <v>25012.02570192673</v>
      </c>
      <c r="Q11" s="388">
        <f t="shared" si="13"/>
        <v>25574.796280220082</v>
      </c>
      <c r="R11" s="388">
        <f t="shared" si="13"/>
        <v>26150.229196525033</v>
      </c>
      <c r="S11" s="388">
        <f t="shared" si="13"/>
        <v>26738.609353446845</v>
      </c>
      <c r="T11" s="388">
        <f t="shared" si="13"/>
        <v>27340.228063899398</v>
      </c>
    </row>
    <row r="12" spans="1:20">
      <c r="A12" s="114" t="s">
        <v>478</v>
      </c>
      <c r="C12" s="349">
        <f t="shared" si="4"/>
        <v>1</v>
      </c>
      <c r="D12" s="387">
        <v>82923.399999999994</v>
      </c>
      <c r="E12" s="387">
        <v>66395</v>
      </c>
      <c r="F12" s="388">
        <f t="shared" si="5"/>
        <v>66395</v>
      </c>
      <c r="G12" s="388">
        <f t="shared" ref="G12" si="14">F12*G$3*$C12*$B$45</f>
        <v>67888.887499999997</v>
      </c>
      <c r="H12" s="388">
        <f t="shared" ref="H12:T12" si="15">G12*H$3*$B$45</f>
        <v>69416.387468749992</v>
      </c>
      <c r="I12" s="388">
        <f t="shared" si="15"/>
        <v>70978.256186796862</v>
      </c>
      <c r="J12" s="388">
        <f t="shared" si="15"/>
        <v>72575.266950999794</v>
      </c>
      <c r="K12" s="388">
        <f t="shared" si="15"/>
        <v>74208.21045739729</v>
      </c>
      <c r="L12" s="388">
        <f t="shared" si="15"/>
        <v>75877.895192688724</v>
      </c>
      <c r="M12" s="388">
        <f t="shared" si="15"/>
        <v>77585.147834524221</v>
      </c>
      <c r="N12" s="388">
        <f t="shared" si="15"/>
        <v>79330.81366080101</v>
      </c>
      <c r="O12" s="388">
        <f t="shared" si="15"/>
        <v>81115.756968169037</v>
      </c>
      <c r="P12" s="388">
        <f t="shared" si="15"/>
        <v>82940.861499952836</v>
      </c>
      <c r="Q12" s="388">
        <f t="shared" si="15"/>
        <v>84807.030883701766</v>
      </c>
      <c r="R12" s="388">
        <f t="shared" si="15"/>
        <v>86715.189078585056</v>
      </c>
      <c r="S12" s="388">
        <f t="shared" si="15"/>
        <v>88666.280832853212</v>
      </c>
      <c r="T12" s="388">
        <f t="shared" si="15"/>
        <v>90661.272151592406</v>
      </c>
    </row>
    <row r="13" spans="1:20">
      <c r="A13" s="114" t="s">
        <v>480</v>
      </c>
      <c r="C13" s="349">
        <f t="shared" si="4"/>
        <v>1</v>
      </c>
      <c r="D13" s="387">
        <v>1175857.7</v>
      </c>
      <c r="E13" s="387">
        <v>1166773</v>
      </c>
      <c r="F13" s="388">
        <f t="shared" si="5"/>
        <v>1166773</v>
      </c>
      <c r="G13" s="388">
        <f t="shared" ref="G13" si="16">F13*G$3*$C13*$B$45</f>
        <v>1193025.3925000001</v>
      </c>
      <c r="H13" s="388">
        <f t="shared" ref="H13:T13" si="17">G13*H$3*$B$45</f>
        <v>1219868.4638312501</v>
      </c>
      <c r="I13" s="388">
        <f t="shared" si="17"/>
        <v>1247315.5042674532</v>
      </c>
      <c r="J13" s="388">
        <f t="shared" si="17"/>
        <v>1275380.1031134708</v>
      </c>
      <c r="K13" s="388">
        <f t="shared" si="17"/>
        <v>1304076.1554335239</v>
      </c>
      <c r="L13" s="388">
        <f t="shared" si="17"/>
        <v>1333417.8689307782</v>
      </c>
      <c r="M13" s="388">
        <f t="shared" si="17"/>
        <v>1363419.7709817206</v>
      </c>
      <c r="N13" s="388">
        <f t="shared" si="17"/>
        <v>1394096.7158288094</v>
      </c>
      <c r="O13" s="388">
        <f t="shared" si="17"/>
        <v>1425463.8919349576</v>
      </c>
      <c r="P13" s="388">
        <f t="shared" si="17"/>
        <v>1457536.8295034941</v>
      </c>
      <c r="Q13" s="388">
        <f t="shared" si="17"/>
        <v>1490331.4081673226</v>
      </c>
      <c r="R13" s="388">
        <f t="shared" si="17"/>
        <v>1523863.8648510873</v>
      </c>
      <c r="S13" s="388">
        <f t="shared" si="17"/>
        <v>1558150.8018102366</v>
      </c>
      <c r="T13" s="388">
        <f t="shared" si="17"/>
        <v>1593209.194850967</v>
      </c>
    </row>
    <row r="14" spans="1:20">
      <c r="A14" s="114" t="s">
        <v>482</v>
      </c>
      <c r="C14" s="349">
        <f t="shared" si="4"/>
        <v>0.99</v>
      </c>
      <c r="D14" s="387">
        <v>35198.9</v>
      </c>
      <c r="E14" s="387">
        <v>26209.9</v>
      </c>
      <c r="F14" s="388">
        <f t="shared" si="5"/>
        <v>26209.9</v>
      </c>
      <c r="G14" s="388">
        <f t="shared" ref="G14" si="18">F14*G$3*$C14*$B$45</f>
        <v>26531.626522499999</v>
      </c>
      <c r="H14" s="388">
        <f t="shared" ref="H14:T14" si="19">G14*H$3*$B$45</f>
        <v>27128.588119256248</v>
      </c>
      <c r="I14" s="388">
        <f t="shared" si="19"/>
        <v>27738.981351939514</v>
      </c>
      <c r="J14" s="388">
        <f t="shared" si="19"/>
        <v>28363.108432358153</v>
      </c>
      <c r="K14" s="388">
        <f t="shared" si="19"/>
        <v>29001.27837208621</v>
      </c>
      <c r="L14" s="388">
        <f t="shared" si="19"/>
        <v>29653.807135458148</v>
      </c>
      <c r="M14" s="388">
        <f t="shared" si="19"/>
        <v>30321.017796005955</v>
      </c>
      <c r="N14" s="388">
        <f t="shared" si="19"/>
        <v>31003.240696416087</v>
      </c>
      <c r="O14" s="388">
        <f t="shared" si="19"/>
        <v>31700.813612085447</v>
      </c>
      <c r="P14" s="388">
        <f t="shared" si="19"/>
        <v>32414.081918357369</v>
      </c>
      <c r="Q14" s="388">
        <f t="shared" si="19"/>
        <v>33143.39876152041</v>
      </c>
      <c r="R14" s="388">
        <f t="shared" si="19"/>
        <v>33889.125233654617</v>
      </c>
      <c r="S14" s="388">
        <f t="shared" si="19"/>
        <v>34651.630551411843</v>
      </c>
      <c r="T14" s="388">
        <f t="shared" si="19"/>
        <v>35431.292238818605</v>
      </c>
    </row>
    <row r="15" spans="1:20">
      <c r="A15" s="114" t="s">
        <v>484</v>
      </c>
      <c r="C15" s="349">
        <f t="shared" si="4"/>
        <v>1</v>
      </c>
      <c r="D15" s="387">
        <v>61096.3</v>
      </c>
      <c r="E15" s="387">
        <v>53305.599999999999</v>
      </c>
      <c r="F15" s="388">
        <f t="shared" si="5"/>
        <v>53305.599999999999</v>
      </c>
      <c r="G15" s="388">
        <f t="shared" ref="G15" si="20">F15*G$3*$C15*$B$45</f>
        <v>54504.975999999995</v>
      </c>
      <c r="H15" s="388">
        <f t="shared" ref="H15:T15" si="21">G15*H$3*$B$45</f>
        <v>55731.33795999999</v>
      </c>
      <c r="I15" s="388">
        <f t="shared" si="21"/>
        <v>56985.293064099991</v>
      </c>
      <c r="J15" s="388">
        <f t="shared" si="21"/>
        <v>58267.462158042239</v>
      </c>
      <c r="K15" s="388">
        <f t="shared" si="21"/>
        <v>59578.480056598186</v>
      </c>
      <c r="L15" s="388">
        <f t="shared" si="21"/>
        <v>60918.99585787164</v>
      </c>
      <c r="M15" s="388">
        <f t="shared" si="21"/>
        <v>62289.673264673751</v>
      </c>
      <c r="N15" s="388">
        <f t="shared" si="21"/>
        <v>63691.190913128907</v>
      </c>
      <c r="O15" s="388">
        <f t="shared" si="21"/>
        <v>65124.242708674305</v>
      </c>
      <c r="P15" s="388">
        <f t="shared" si="21"/>
        <v>66589.538169619467</v>
      </c>
      <c r="Q15" s="388">
        <f t="shared" si="21"/>
        <v>68087.8027784359</v>
      </c>
      <c r="R15" s="388">
        <f t="shared" si="21"/>
        <v>69619.77834095071</v>
      </c>
      <c r="S15" s="388">
        <f t="shared" si="21"/>
        <v>71186.223353622103</v>
      </c>
      <c r="T15" s="388">
        <f t="shared" si="21"/>
        <v>72787.9133790786</v>
      </c>
    </row>
    <row r="16" spans="1:20">
      <c r="A16" s="114" t="s">
        <v>486</v>
      </c>
      <c r="C16" s="349">
        <f t="shared" si="4"/>
        <v>0.95</v>
      </c>
      <c r="D16" s="387">
        <v>22842.6</v>
      </c>
      <c r="E16" s="387">
        <v>17465.099999999999</v>
      </c>
      <c r="F16" s="388">
        <f t="shared" si="5"/>
        <v>17465.099999999999</v>
      </c>
      <c r="G16" s="388">
        <f t="shared" ref="G16" si="22">F16*G$3*$C16*$B$45</f>
        <v>16965.161512499995</v>
      </c>
      <c r="H16" s="388">
        <f t="shared" ref="H16:T16" si="23">G16*H$3*$B$45</f>
        <v>17346.877646531244</v>
      </c>
      <c r="I16" s="388">
        <f t="shared" si="23"/>
        <v>17737.182393578198</v>
      </c>
      <c r="J16" s="388">
        <f t="shared" si="23"/>
        <v>18136.268997433708</v>
      </c>
      <c r="K16" s="388">
        <f t="shared" si="23"/>
        <v>18544.335049875965</v>
      </c>
      <c r="L16" s="388">
        <f t="shared" si="23"/>
        <v>18961.582588498171</v>
      </c>
      <c r="M16" s="388">
        <f t="shared" si="23"/>
        <v>19388.218196739381</v>
      </c>
      <c r="N16" s="388">
        <f t="shared" si="23"/>
        <v>19824.453106166016</v>
      </c>
      <c r="O16" s="388">
        <f t="shared" si="23"/>
        <v>20270.503301054752</v>
      </c>
      <c r="P16" s="388">
        <f t="shared" si="23"/>
        <v>20726.589625328485</v>
      </c>
      <c r="Q16" s="388">
        <f t="shared" si="23"/>
        <v>21192.937891898375</v>
      </c>
      <c r="R16" s="388">
        <f t="shared" si="23"/>
        <v>21669.778994466087</v>
      </c>
      <c r="S16" s="388">
        <f t="shared" si="23"/>
        <v>22157.349021841572</v>
      </c>
      <c r="T16" s="388">
        <f t="shared" si="23"/>
        <v>22655.889374833005</v>
      </c>
    </row>
    <row r="17" spans="1:20">
      <c r="A17" s="114" t="s">
        <v>488</v>
      </c>
      <c r="C17" s="349">
        <f t="shared" si="4"/>
        <v>1</v>
      </c>
      <c r="D17" s="387">
        <v>123179.1</v>
      </c>
      <c r="E17" s="387">
        <v>76042.899999999994</v>
      </c>
      <c r="F17" s="388">
        <f t="shared" si="5"/>
        <v>76042.899999999994</v>
      </c>
      <c r="G17" s="388">
        <f t="shared" ref="G17" si="24">F17*G$3*$C17*$B$45</f>
        <v>77753.865249999988</v>
      </c>
      <c r="H17" s="388">
        <f t="shared" ref="H17:T17" si="25">G17*H$3*$B$45</f>
        <v>79503.327218124992</v>
      </c>
      <c r="I17" s="388">
        <f t="shared" si="25"/>
        <v>81292.152080532804</v>
      </c>
      <c r="J17" s="388">
        <f t="shared" si="25"/>
        <v>83121.225502344794</v>
      </c>
      <c r="K17" s="388">
        <f t="shared" si="25"/>
        <v>84991.453076147547</v>
      </c>
      <c r="L17" s="388">
        <f t="shared" si="25"/>
        <v>86903.760770360866</v>
      </c>
      <c r="M17" s="388">
        <f t="shared" si="25"/>
        <v>88859.095387693989</v>
      </c>
      <c r="N17" s="388">
        <f t="shared" si="25"/>
        <v>90858.425033917098</v>
      </c>
      <c r="O17" s="388">
        <f t="shared" si="25"/>
        <v>92902.739597180233</v>
      </c>
      <c r="P17" s="388">
        <f t="shared" si="25"/>
        <v>94993.051238116779</v>
      </c>
      <c r="Q17" s="388">
        <f t="shared" si="25"/>
        <v>97130.394890974407</v>
      </c>
      <c r="R17" s="388">
        <f t="shared" si="25"/>
        <v>99315.828776021328</v>
      </c>
      <c r="S17" s="388">
        <f t="shared" si="25"/>
        <v>101550.43492348181</v>
      </c>
      <c r="T17" s="388">
        <f t="shared" si="25"/>
        <v>103835.31970926015</v>
      </c>
    </row>
    <row r="18" spans="1:20">
      <c r="A18" s="114" t="s">
        <v>490</v>
      </c>
      <c r="C18" s="349">
        <f t="shared" si="4"/>
        <v>1</v>
      </c>
      <c r="D18" s="387">
        <v>173691</v>
      </c>
      <c r="E18" s="387">
        <v>165169.60000000001</v>
      </c>
      <c r="F18" s="388">
        <f t="shared" si="5"/>
        <v>165169.60000000001</v>
      </c>
      <c r="G18" s="388">
        <f t="shared" ref="G18" si="26">F18*G$3*$C18*$B$45</f>
        <v>168885.916</v>
      </c>
      <c r="H18" s="388">
        <f t="shared" ref="H18:T18" si="27">G18*H$3*$B$45</f>
        <v>172685.84910999998</v>
      </c>
      <c r="I18" s="388">
        <f t="shared" si="27"/>
        <v>176571.28071497497</v>
      </c>
      <c r="J18" s="388">
        <f t="shared" si="27"/>
        <v>180544.13453106189</v>
      </c>
      <c r="K18" s="388">
        <f t="shared" si="27"/>
        <v>184606.37755801078</v>
      </c>
      <c r="L18" s="388">
        <f t="shared" si="27"/>
        <v>188760.02105306601</v>
      </c>
      <c r="M18" s="388">
        <f t="shared" si="27"/>
        <v>193007.12152675999</v>
      </c>
      <c r="N18" s="388">
        <f t="shared" si="27"/>
        <v>197349.78176111207</v>
      </c>
      <c r="O18" s="388">
        <f t="shared" si="27"/>
        <v>201790.15185073708</v>
      </c>
      <c r="P18" s="388">
        <f t="shared" si="27"/>
        <v>206330.43026737866</v>
      </c>
      <c r="Q18" s="388">
        <f t="shared" si="27"/>
        <v>210972.86494839468</v>
      </c>
      <c r="R18" s="388">
        <f t="shared" si="27"/>
        <v>215719.75440973355</v>
      </c>
      <c r="S18" s="388">
        <f t="shared" si="27"/>
        <v>220573.44888395254</v>
      </c>
      <c r="T18" s="388">
        <f t="shared" si="27"/>
        <v>225536.35148384146</v>
      </c>
    </row>
    <row r="19" spans="1:20">
      <c r="A19" s="114" t="s">
        <v>28</v>
      </c>
      <c r="C19" s="349">
        <f t="shared" si="4"/>
        <v>0.99</v>
      </c>
      <c r="D19" s="387">
        <v>33064.6</v>
      </c>
      <c r="E19" s="387">
        <v>29388.9</v>
      </c>
      <c r="F19" s="388">
        <f t="shared" si="5"/>
        <v>29388.9</v>
      </c>
      <c r="G19" s="388">
        <f t="shared" ref="G19" si="28">F19*G$3*$C19*$B$45</f>
        <v>29749.648747499999</v>
      </c>
      <c r="H19" s="388">
        <f t="shared" ref="H19:T19" si="29">G19*H$3*$B$45</f>
        <v>30419.01584431875</v>
      </c>
      <c r="I19" s="388">
        <f t="shared" si="29"/>
        <v>31103.443700815922</v>
      </c>
      <c r="J19" s="388">
        <f t="shared" si="29"/>
        <v>31803.271184084279</v>
      </c>
      <c r="K19" s="388">
        <f t="shared" si="29"/>
        <v>32518.844785726174</v>
      </c>
      <c r="L19" s="388">
        <f t="shared" si="29"/>
        <v>33250.518793405012</v>
      </c>
      <c r="M19" s="388">
        <f t="shared" si="29"/>
        <v>33998.655466256627</v>
      </c>
      <c r="N19" s="388">
        <f t="shared" si="29"/>
        <v>34763.625214247397</v>
      </c>
      <c r="O19" s="388">
        <f t="shared" si="29"/>
        <v>35545.806781567961</v>
      </c>
      <c r="P19" s="388">
        <f t="shared" si="29"/>
        <v>36345.58743415324</v>
      </c>
      <c r="Q19" s="388">
        <f t="shared" si="29"/>
        <v>37163.363151421683</v>
      </c>
      <c r="R19" s="388">
        <f t="shared" si="29"/>
        <v>37999.538822328672</v>
      </c>
      <c r="S19" s="388">
        <f t="shared" si="29"/>
        <v>38854.528445831063</v>
      </c>
      <c r="T19" s="388">
        <f t="shared" si="29"/>
        <v>39728.755335862261</v>
      </c>
    </row>
    <row r="20" spans="1:20">
      <c r="A20" s="114" t="s">
        <v>492</v>
      </c>
      <c r="C20" s="349">
        <f t="shared" si="4"/>
        <v>1</v>
      </c>
      <c r="D20" s="387">
        <v>301206.59999999998</v>
      </c>
      <c r="E20" s="387">
        <v>253138.5</v>
      </c>
      <c r="F20" s="388">
        <f t="shared" si="5"/>
        <v>253138.5</v>
      </c>
      <c r="G20" s="388">
        <f t="shared" ref="G20" si="30">F20*G$3*$C20*$B$45</f>
        <v>258834.11624999999</v>
      </c>
      <c r="H20" s="388">
        <f t="shared" ref="H20:T20" si="31">G20*H$3*$B$45</f>
        <v>264657.88386562496</v>
      </c>
      <c r="I20" s="388">
        <f t="shared" si="31"/>
        <v>270612.6862526015</v>
      </c>
      <c r="J20" s="388">
        <f t="shared" si="31"/>
        <v>276701.47169328504</v>
      </c>
      <c r="K20" s="388">
        <f t="shared" si="31"/>
        <v>282927.25480638392</v>
      </c>
      <c r="L20" s="388">
        <f t="shared" si="31"/>
        <v>289293.11803952756</v>
      </c>
      <c r="M20" s="388">
        <f t="shared" si="31"/>
        <v>295802.2131954169</v>
      </c>
      <c r="N20" s="388">
        <f t="shared" si="31"/>
        <v>302457.76299231377</v>
      </c>
      <c r="O20" s="388">
        <f t="shared" si="31"/>
        <v>309263.0626596408</v>
      </c>
      <c r="P20" s="388">
        <f t="shared" si="31"/>
        <v>316221.48156948271</v>
      </c>
      <c r="Q20" s="388">
        <f t="shared" si="31"/>
        <v>323336.46490479604</v>
      </c>
      <c r="R20" s="388">
        <f t="shared" si="31"/>
        <v>330611.53536515392</v>
      </c>
      <c r="S20" s="388">
        <f t="shared" si="31"/>
        <v>338050.29491086985</v>
      </c>
      <c r="T20" s="388">
        <f t="shared" si="31"/>
        <v>345656.42654636444</v>
      </c>
    </row>
    <row r="21" spans="1:20">
      <c r="A21" s="114" t="s">
        <v>493</v>
      </c>
      <c r="C21" s="349">
        <f t="shared" si="4"/>
        <v>1</v>
      </c>
      <c r="D21" s="387">
        <v>377610.2</v>
      </c>
      <c r="E21" s="387">
        <v>351732.2</v>
      </c>
      <c r="F21" s="388">
        <f t="shared" si="5"/>
        <v>351732.2</v>
      </c>
      <c r="G21" s="388">
        <f t="shared" ref="G21" si="32">F21*G$3*$C21*$B$45</f>
        <v>359646.17450000002</v>
      </c>
      <c r="H21" s="388">
        <f t="shared" ref="H21:T21" si="33">G21*H$3*$B$45</f>
        <v>367738.21342625003</v>
      </c>
      <c r="I21" s="388">
        <f t="shared" si="33"/>
        <v>376012.32322834065</v>
      </c>
      <c r="J21" s="388">
        <f t="shared" si="33"/>
        <v>384472.6005009783</v>
      </c>
      <c r="K21" s="388">
        <f t="shared" si="33"/>
        <v>393123.23401225032</v>
      </c>
      <c r="L21" s="388">
        <f t="shared" si="33"/>
        <v>401968.50677752594</v>
      </c>
      <c r="M21" s="388">
        <f t="shared" si="33"/>
        <v>411012.79818002024</v>
      </c>
      <c r="N21" s="388">
        <f t="shared" si="33"/>
        <v>420260.58613907069</v>
      </c>
      <c r="O21" s="388">
        <f t="shared" si="33"/>
        <v>429716.44932719978</v>
      </c>
      <c r="P21" s="388">
        <f t="shared" si="33"/>
        <v>439385.06943706179</v>
      </c>
      <c r="Q21" s="388">
        <f t="shared" si="33"/>
        <v>449271.23349939566</v>
      </c>
      <c r="R21" s="388">
        <f t="shared" si="33"/>
        <v>459379.83625313203</v>
      </c>
      <c r="S21" s="388">
        <f t="shared" si="33"/>
        <v>469715.88256882748</v>
      </c>
      <c r="T21" s="388">
        <f t="shared" si="33"/>
        <v>480284.48992662609</v>
      </c>
    </row>
    <row r="22" spans="1:20">
      <c r="A22" t="s">
        <v>494</v>
      </c>
      <c r="C22" s="349">
        <f t="shared" si="4"/>
        <v>0.94</v>
      </c>
      <c r="D22" s="389">
        <v>27752.5</v>
      </c>
      <c r="E22" s="389">
        <v>23150</v>
      </c>
      <c r="F22" s="388">
        <f t="shared" si="5"/>
        <v>23150</v>
      </c>
      <c r="G22" s="388">
        <f t="shared" ref="G22" si="34">F22*G$3*$C22*$B$45</f>
        <v>22250.622499999998</v>
      </c>
      <c r="H22" s="388">
        <f t="shared" ref="H22:T22" si="35">G22*H$3*$B$45</f>
        <v>22751.261506249997</v>
      </c>
      <c r="I22" s="388">
        <f t="shared" si="35"/>
        <v>23263.164890140622</v>
      </c>
      <c r="J22" s="388">
        <f t="shared" si="35"/>
        <v>23786.586100168784</v>
      </c>
      <c r="K22" s="388">
        <f t="shared" si="35"/>
        <v>24321.784287422583</v>
      </c>
      <c r="L22" s="388">
        <f t="shared" si="35"/>
        <v>24869.02443388959</v>
      </c>
      <c r="M22" s="388">
        <f t="shared" si="35"/>
        <v>25428.577483652105</v>
      </c>
      <c r="N22" s="388">
        <f t="shared" si="35"/>
        <v>26000.720477034276</v>
      </c>
      <c r="O22" s="388">
        <f t="shared" si="35"/>
        <v>26585.736687767545</v>
      </c>
      <c r="P22" s="388">
        <f t="shared" si="35"/>
        <v>27183.915763242312</v>
      </c>
      <c r="Q22" s="388">
        <f t="shared" si="35"/>
        <v>27795.553867915263</v>
      </c>
      <c r="R22" s="388">
        <f t="shared" si="35"/>
        <v>28420.953829943355</v>
      </c>
      <c r="S22" s="388">
        <f t="shared" si="35"/>
        <v>29060.425291117081</v>
      </c>
      <c r="T22" s="388">
        <f t="shared" si="35"/>
        <v>29714.284860167212</v>
      </c>
    </row>
    <row r="23" spans="1:20">
      <c r="A23" t="s">
        <v>495</v>
      </c>
      <c r="C23" s="349">
        <f t="shared" si="4"/>
        <v>1</v>
      </c>
      <c r="D23" s="389">
        <v>0</v>
      </c>
      <c r="E23" s="389">
        <v>0</v>
      </c>
      <c r="F23" s="388">
        <f t="shared" si="5"/>
        <v>0</v>
      </c>
      <c r="G23" s="388">
        <f t="shared" ref="G23" si="36">F23*G$3*$C23*$B$45</f>
        <v>0</v>
      </c>
      <c r="H23" s="388">
        <f t="shared" ref="H23:T23" si="37">G23*H$3*$B$45</f>
        <v>0</v>
      </c>
      <c r="I23" s="388">
        <f t="shared" si="37"/>
        <v>0</v>
      </c>
      <c r="J23" s="388">
        <f t="shared" si="37"/>
        <v>0</v>
      </c>
      <c r="K23" s="388">
        <f t="shared" si="37"/>
        <v>0</v>
      </c>
      <c r="L23" s="388">
        <f t="shared" si="37"/>
        <v>0</v>
      </c>
      <c r="M23" s="388">
        <f t="shared" si="37"/>
        <v>0</v>
      </c>
      <c r="N23" s="388">
        <f t="shared" si="37"/>
        <v>0</v>
      </c>
      <c r="O23" s="388">
        <f t="shared" si="37"/>
        <v>0</v>
      </c>
      <c r="P23" s="388">
        <f t="shared" si="37"/>
        <v>0</v>
      </c>
      <c r="Q23" s="388">
        <f t="shared" si="37"/>
        <v>0</v>
      </c>
      <c r="R23" s="388">
        <f t="shared" si="37"/>
        <v>0</v>
      </c>
      <c r="S23" s="388">
        <f t="shared" si="37"/>
        <v>0</v>
      </c>
      <c r="T23" s="388">
        <f t="shared" si="37"/>
        <v>0</v>
      </c>
    </row>
    <row r="24" spans="1:20">
      <c r="A24" t="s">
        <v>496</v>
      </c>
      <c r="C24" s="349">
        <f t="shared" si="4"/>
        <v>1</v>
      </c>
      <c r="D24" s="389">
        <v>109684.4</v>
      </c>
      <c r="E24" s="389">
        <v>108123.4</v>
      </c>
      <c r="F24" s="388">
        <f t="shared" si="5"/>
        <v>108123.4</v>
      </c>
      <c r="G24" s="388">
        <f t="shared" ref="G24" si="38">F24*G$3*$C24*$B$45</f>
        <v>110556.17649999999</v>
      </c>
      <c r="H24" s="388">
        <f t="shared" ref="H24:T24" si="39">G24*H$3*$B$45</f>
        <v>113043.69047124998</v>
      </c>
      <c r="I24" s="388">
        <f t="shared" si="39"/>
        <v>115587.1735068531</v>
      </c>
      <c r="J24" s="388">
        <f t="shared" si="39"/>
        <v>118187.88491075729</v>
      </c>
      <c r="K24" s="388">
        <f t="shared" si="39"/>
        <v>120847.11232124933</v>
      </c>
      <c r="L24" s="388">
        <f t="shared" si="39"/>
        <v>123566.17234847743</v>
      </c>
      <c r="M24" s="388">
        <f t="shared" si="39"/>
        <v>126346.41122631816</v>
      </c>
      <c r="N24" s="388">
        <f t="shared" si="39"/>
        <v>129189.20547891031</v>
      </c>
      <c r="O24" s="388">
        <f t="shared" si="39"/>
        <v>132095.96260218578</v>
      </c>
      <c r="P24" s="388">
        <f t="shared" si="39"/>
        <v>135068.12176073497</v>
      </c>
      <c r="Q24" s="388">
        <f t="shared" si="39"/>
        <v>138107.15450035149</v>
      </c>
      <c r="R24" s="388">
        <f t="shared" si="39"/>
        <v>141214.56547660939</v>
      </c>
      <c r="S24" s="388">
        <f t="shared" si="39"/>
        <v>144391.89319983311</v>
      </c>
      <c r="T24" s="388">
        <f t="shared" si="39"/>
        <v>147640.71079682934</v>
      </c>
    </row>
    <row r="25" spans="1:20">
      <c r="A25" t="s">
        <v>497</v>
      </c>
      <c r="C25" s="349">
        <f t="shared" si="4"/>
        <v>1</v>
      </c>
      <c r="D25" s="389">
        <v>64253.599999999999</v>
      </c>
      <c r="E25" s="389">
        <v>72226.600000000006</v>
      </c>
      <c r="F25" s="388">
        <f t="shared" si="5"/>
        <v>72226.600000000006</v>
      </c>
      <c r="G25" s="388">
        <f t="shared" ref="G25" si="40">F25*G$3*$C25*$B$45</f>
        <v>73851.698499999999</v>
      </c>
      <c r="H25" s="388">
        <f t="shared" ref="H25:T25" si="41">G25*H$3*$B$45</f>
        <v>75513.361716250001</v>
      </c>
      <c r="I25" s="388">
        <f t="shared" si="41"/>
        <v>77212.412354865621</v>
      </c>
      <c r="J25" s="388">
        <f t="shared" si="41"/>
        <v>78949.691632850096</v>
      </c>
      <c r="K25" s="388">
        <f t="shared" si="41"/>
        <v>80726.059694589218</v>
      </c>
      <c r="L25" s="388">
        <f t="shared" si="41"/>
        <v>82542.396037717466</v>
      </c>
      <c r="M25" s="388">
        <f t="shared" si="41"/>
        <v>84399.599948566101</v>
      </c>
      <c r="N25" s="388">
        <f t="shared" si="41"/>
        <v>86298.59094740884</v>
      </c>
      <c r="O25" s="388">
        <f t="shared" si="41"/>
        <v>88240.30924372554</v>
      </c>
      <c r="P25" s="388">
        <f t="shared" si="41"/>
        <v>90225.716201709365</v>
      </c>
      <c r="Q25" s="388">
        <f t="shared" si="41"/>
        <v>92255.794816247828</v>
      </c>
      <c r="R25" s="388">
        <f t="shared" si="41"/>
        <v>94331.550199613397</v>
      </c>
      <c r="S25" s="388">
        <f t="shared" si="41"/>
        <v>96454.010079104701</v>
      </c>
      <c r="T25" s="388">
        <f t="shared" si="41"/>
        <v>98624.225305884553</v>
      </c>
    </row>
    <row r="26" spans="1:20">
      <c r="D26" s="389"/>
      <c r="E26" s="389"/>
      <c r="F26" s="390"/>
    </row>
    <row r="27" spans="1:20">
      <c r="A27" s="29" t="s">
        <v>500</v>
      </c>
      <c r="B27" s="29"/>
      <c r="C27" s="29"/>
      <c r="D27" s="391">
        <f>SUM(D7:D26)</f>
        <v>4317669.8</v>
      </c>
      <c r="E27" s="391">
        <f>SUM(E7:E26)</f>
        <v>4113994.4000000004</v>
      </c>
      <c r="F27" s="392">
        <f t="shared" ref="F27:T27" si="42">SUM(F7:F25)</f>
        <v>4113994.4000000004</v>
      </c>
      <c r="G27" s="392">
        <f t="shared" si="42"/>
        <v>4186266.3412474999</v>
      </c>
      <c r="H27" s="392">
        <f t="shared" si="42"/>
        <v>4280457.3339255685</v>
      </c>
      <c r="I27" s="392">
        <f t="shared" si="42"/>
        <v>4376767.6239388939</v>
      </c>
      <c r="J27" s="392">
        <f t="shared" si="42"/>
        <v>4475244.8954775194</v>
      </c>
      <c r="K27" s="392">
        <f t="shared" si="42"/>
        <v>4575937.9056257624</v>
      </c>
      <c r="L27" s="392">
        <f t="shared" si="42"/>
        <v>4678896.5085023418</v>
      </c>
      <c r="M27" s="392">
        <f t="shared" si="42"/>
        <v>4784171.6799436454</v>
      </c>
      <c r="N27" s="392">
        <f t="shared" si="42"/>
        <v>4891815.5427423771</v>
      </c>
      <c r="O27" s="392">
        <f t="shared" si="42"/>
        <v>5001881.3924540794</v>
      </c>
      <c r="P27" s="392">
        <f t="shared" si="42"/>
        <v>5114423.7237842958</v>
      </c>
      <c r="Q27" s="392">
        <f t="shared" si="42"/>
        <v>5229498.2575694434</v>
      </c>
      <c r="R27" s="392">
        <f t="shared" si="42"/>
        <v>5347161.9683647547</v>
      </c>
      <c r="S27" s="392">
        <f t="shared" si="42"/>
        <v>5467473.1126529612</v>
      </c>
      <c r="T27" s="392">
        <f t="shared" si="42"/>
        <v>5590491.2576876525</v>
      </c>
    </row>
    <row r="28" spans="1:20">
      <c r="F28" s="390"/>
      <c r="G28" s="390"/>
      <c r="H28" s="390"/>
      <c r="I28" s="390"/>
      <c r="J28" s="390"/>
      <c r="K28" s="390"/>
      <c r="L28" s="390"/>
      <c r="M28" s="390"/>
      <c r="N28" s="390"/>
      <c r="O28" s="390"/>
      <c r="P28" s="390"/>
      <c r="Q28" s="390"/>
      <c r="R28" s="390"/>
      <c r="S28" s="390"/>
      <c r="T28" s="390"/>
    </row>
    <row r="29" spans="1:20">
      <c r="A29" t="s">
        <v>501</v>
      </c>
      <c r="D29" s="389">
        <v>188873.7</v>
      </c>
      <c r="E29" s="389">
        <v>206209.1</v>
      </c>
      <c r="F29" s="388">
        <f>E29</f>
        <v>206209.1</v>
      </c>
      <c r="G29" s="388">
        <f t="shared" ref="G29:T29" si="43">F29*$B$45</f>
        <v>210848.80475000001</v>
      </c>
      <c r="H29" s="388">
        <f t="shared" si="43"/>
        <v>215592.90285687501</v>
      </c>
      <c r="I29" s="388">
        <f t="shared" si="43"/>
        <v>220443.7431711547</v>
      </c>
      <c r="J29" s="388">
        <f t="shared" si="43"/>
        <v>225403.72739250568</v>
      </c>
      <c r="K29" s="388">
        <f t="shared" si="43"/>
        <v>230475.31125883706</v>
      </c>
      <c r="L29" s="388">
        <f t="shared" si="43"/>
        <v>235661.00576216087</v>
      </c>
      <c r="M29" s="388">
        <f t="shared" si="43"/>
        <v>240963.37839180947</v>
      </c>
      <c r="N29" s="388">
        <f t="shared" si="43"/>
        <v>246385.05440562518</v>
      </c>
      <c r="O29" s="388">
        <f t="shared" si="43"/>
        <v>251928.71812975174</v>
      </c>
      <c r="P29" s="388">
        <f t="shared" si="43"/>
        <v>257597.11428767114</v>
      </c>
      <c r="Q29" s="388">
        <f t="shared" si="43"/>
        <v>263393.04935914371</v>
      </c>
      <c r="R29" s="388">
        <f t="shared" si="43"/>
        <v>269319.39296972443</v>
      </c>
      <c r="S29" s="388">
        <f t="shared" si="43"/>
        <v>275379.0793115432</v>
      </c>
      <c r="T29" s="388">
        <f t="shared" si="43"/>
        <v>281575.10859605292</v>
      </c>
    </row>
    <row r="30" spans="1:20">
      <c r="A30" t="s">
        <v>502</v>
      </c>
      <c r="B30" s="8"/>
      <c r="D30" s="389">
        <v>633780.6</v>
      </c>
      <c r="E30" s="389">
        <v>262519.90000000002</v>
      </c>
      <c r="F30" s="388">
        <f t="shared" ref="F30:F33" si="44">E30</f>
        <v>262519.90000000002</v>
      </c>
      <c r="G30" s="388">
        <f t="shared" ref="G30:T30" si="45">F30*$B$45</f>
        <v>268426.59775000002</v>
      </c>
      <c r="H30" s="388">
        <f t="shared" si="45"/>
        <v>274466.19619937503</v>
      </c>
      <c r="I30" s="388">
        <f t="shared" si="45"/>
        <v>280641.68561386096</v>
      </c>
      <c r="J30" s="388">
        <f t="shared" si="45"/>
        <v>286956.12354017282</v>
      </c>
      <c r="K30" s="388">
        <f t="shared" si="45"/>
        <v>293412.63631982671</v>
      </c>
      <c r="L30" s="388">
        <f t="shared" si="45"/>
        <v>300014.42063702282</v>
      </c>
      <c r="M30" s="388">
        <f t="shared" si="45"/>
        <v>306764.74510135583</v>
      </c>
      <c r="N30" s="388">
        <f t="shared" si="45"/>
        <v>313666.95186613634</v>
      </c>
      <c r="O30" s="388">
        <f t="shared" si="45"/>
        <v>320724.45828312438</v>
      </c>
      <c r="P30" s="388">
        <f t="shared" si="45"/>
        <v>327940.75859449466</v>
      </c>
      <c r="Q30" s="388">
        <f t="shared" si="45"/>
        <v>335319.42566287075</v>
      </c>
      <c r="R30" s="388">
        <f t="shared" si="45"/>
        <v>342864.11274028535</v>
      </c>
      <c r="S30" s="388">
        <f t="shared" si="45"/>
        <v>350578.55527694174</v>
      </c>
      <c r="T30" s="388">
        <f t="shared" si="45"/>
        <v>358466.57277067291</v>
      </c>
    </row>
    <row r="31" spans="1:20">
      <c r="A31" t="s">
        <v>503</v>
      </c>
      <c r="D31" s="389">
        <v>7192.9</v>
      </c>
      <c r="E31" s="389">
        <v>0</v>
      </c>
      <c r="F31" s="388">
        <f t="shared" si="44"/>
        <v>0</v>
      </c>
      <c r="G31" s="388">
        <f t="shared" ref="G31:T31" si="46">F31*$B$45</f>
        <v>0</v>
      </c>
      <c r="H31" s="388">
        <f t="shared" si="46"/>
        <v>0</v>
      </c>
      <c r="I31" s="388">
        <f t="shared" si="46"/>
        <v>0</v>
      </c>
      <c r="J31" s="388">
        <f t="shared" si="46"/>
        <v>0</v>
      </c>
      <c r="K31" s="388">
        <f t="shared" si="46"/>
        <v>0</v>
      </c>
      <c r="L31" s="388">
        <f t="shared" si="46"/>
        <v>0</v>
      </c>
      <c r="M31" s="388">
        <f t="shared" si="46"/>
        <v>0</v>
      </c>
      <c r="N31" s="388">
        <f t="shared" si="46"/>
        <v>0</v>
      </c>
      <c r="O31" s="388">
        <f t="shared" si="46"/>
        <v>0</v>
      </c>
      <c r="P31" s="388">
        <f t="shared" si="46"/>
        <v>0</v>
      </c>
      <c r="Q31" s="388">
        <f t="shared" si="46"/>
        <v>0</v>
      </c>
      <c r="R31" s="388">
        <f t="shared" si="46"/>
        <v>0</v>
      </c>
      <c r="S31" s="388">
        <f t="shared" si="46"/>
        <v>0</v>
      </c>
      <c r="T31" s="388">
        <f t="shared" si="46"/>
        <v>0</v>
      </c>
    </row>
    <row r="32" spans="1:20">
      <c r="A32" t="s">
        <v>504</v>
      </c>
      <c r="D32" s="389">
        <v>1198291.3999999999</v>
      </c>
      <c r="E32" s="389">
        <v>702000</v>
      </c>
      <c r="F32" s="388">
        <f t="shared" si="44"/>
        <v>702000</v>
      </c>
      <c r="G32" s="388">
        <f t="shared" ref="G32:T32" si="47">F32*$B$45</f>
        <v>717795</v>
      </c>
      <c r="H32" s="388">
        <f t="shared" si="47"/>
        <v>733945.38749999995</v>
      </c>
      <c r="I32" s="388">
        <f t="shared" si="47"/>
        <v>750459.15871874988</v>
      </c>
      <c r="J32" s="388">
        <f t="shared" si="47"/>
        <v>767344.48978992167</v>
      </c>
      <c r="K32" s="388">
        <f t="shared" si="47"/>
        <v>784609.74081019487</v>
      </c>
      <c r="L32" s="388">
        <f t="shared" si="47"/>
        <v>802263.45997842425</v>
      </c>
      <c r="M32" s="388">
        <f t="shared" si="47"/>
        <v>820314.38782793877</v>
      </c>
      <c r="N32" s="388">
        <f t="shared" si="47"/>
        <v>838771.46155406733</v>
      </c>
      <c r="O32" s="388">
        <f t="shared" si="47"/>
        <v>857643.81943903386</v>
      </c>
      <c r="P32" s="388">
        <f t="shared" si="47"/>
        <v>876940.80537641211</v>
      </c>
      <c r="Q32" s="388">
        <f t="shared" si="47"/>
        <v>896671.97349738132</v>
      </c>
      <c r="R32" s="388">
        <f t="shared" si="47"/>
        <v>916847.09290107235</v>
      </c>
      <c r="S32" s="388">
        <f t="shared" si="47"/>
        <v>937476.15249134647</v>
      </c>
      <c r="T32" s="388">
        <f t="shared" si="47"/>
        <v>958569.36592240178</v>
      </c>
    </row>
    <row r="33" spans="1:20">
      <c r="A33" s="29" t="s">
        <v>505</v>
      </c>
      <c r="B33" s="29"/>
      <c r="C33" s="29"/>
      <c r="D33" s="391">
        <f t="shared" ref="D33:T33" si="48">SUM(D29:D32)</f>
        <v>2028138.6</v>
      </c>
      <c r="E33" s="391">
        <f t="shared" si="48"/>
        <v>1170729</v>
      </c>
      <c r="F33" s="388">
        <f t="shared" si="44"/>
        <v>1170729</v>
      </c>
      <c r="G33" s="390">
        <f t="shared" si="48"/>
        <v>1197070.4025000001</v>
      </c>
      <c r="H33" s="390">
        <f t="shared" si="48"/>
        <v>1224004.4865562501</v>
      </c>
      <c r="I33" s="390">
        <f t="shared" si="48"/>
        <v>1251544.5875037655</v>
      </c>
      <c r="J33" s="390">
        <f t="shared" si="48"/>
        <v>1279704.3407226002</v>
      </c>
      <c r="K33" s="390">
        <f t="shared" si="48"/>
        <v>1308497.6883888587</v>
      </c>
      <c r="L33" s="390">
        <f t="shared" si="48"/>
        <v>1337938.8863776079</v>
      </c>
      <c r="M33" s="390">
        <f t="shared" si="48"/>
        <v>1368042.5113211041</v>
      </c>
      <c r="N33" s="390">
        <f t="shared" si="48"/>
        <v>1398823.4678258288</v>
      </c>
      <c r="O33" s="390">
        <f t="shared" si="48"/>
        <v>1430296.99585191</v>
      </c>
      <c r="P33" s="390">
        <f t="shared" si="48"/>
        <v>1462478.6782585778</v>
      </c>
      <c r="Q33" s="390">
        <f t="shared" si="48"/>
        <v>1495384.4485193957</v>
      </c>
      <c r="R33" s="390">
        <f t="shared" si="48"/>
        <v>1529030.598611082</v>
      </c>
      <c r="S33" s="390">
        <f t="shared" si="48"/>
        <v>1563433.7870798314</v>
      </c>
      <c r="T33" s="390">
        <f t="shared" si="48"/>
        <v>1598611.0472891275</v>
      </c>
    </row>
    <row r="34" spans="1:20">
      <c r="D34" s="389"/>
      <c r="E34" s="389"/>
      <c r="F34" s="390"/>
      <c r="G34" s="390"/>
      <c r="H34" s="390"/>
      <c r="I34" s="390"/>
      <c r="J34" s="390"/>
      <c r="K34" s="390"/>
      <c r="L34" s="390"/>
      <c r="M34" s="390"/>
      <c r="N34" s="390"/>
      <c r="O34" s="390"/>
      <c r="P34" s="390"/>
      <c r="Q34" s="390"/>
      <c r="R34" s="390"/>
      <c r="S34" s="390"/>
      <c r="T34" s="390"/>
    </row>
    <row r="35" spans="1:20">
      <c r="A35" s="29" t="s">
        <v>506</v>
      </c>
      <c r="B35" s="29"/>
      <c r="C35" s="29"/>
      <c r="D35" s="391">
        <f>D33+D27</f>
        <v>6345808.4000000004</v>
      </c>
      <c r="E35" s="954">
        <f>E33+E27+F38/B45</f>
        <v>5333623.1555012232</v>
      </c>
      <c r="F35" s="391">
        <f>F33+F27+F38</f>
        <v>5334723.4000000004</v>
      </c>
      <c r="G35" s="391">
        <f t="shared" ref="G35:T35" si="49">G33+G27+G38</f>
        <v>5434461.7437474998</v>
      </c>
      <c r="H35" s="391">
        <f t="shared" si="49"/>
        <v>5556737.1329818182</v>
      </c>
      <c r="I35" s="391">
        <f t="shared" si="49"/>
        <v>5681763.7184739094</v>
      </c>
      <c r="J35" s="391">
        <f t="shared" si="49"/>
        <v>5809603.4021395724</v>
      </c>
      <c r="K35" s="391">
        <f t="shared" si="49"/>
        <v>5940319.478687712</v>
      </c>
      <c r="L35" s="391">
        <f t="shared" si="49"/>
        <v>6073976.6669581858</v>
      </c>
      <c r="M35" s="391">
        <f t="shared" si="49"/>
        <v>6210641.1419647448</v>
      </c>
      <c r="N35" s="391">
        <f t="shared" si="49"/>
        <v>6350380.5676589515</v>
      </c>
      <c r="O35" s="391">
        <f t="shared" si="49"/>
        <v>6493264.1304312767</v>
      </c>
      <c r="P35" s="391">
        <f t="shared" si="49"/>
        <v>6639362.5733659798</v>
      </c>
      <c r="Q35" s="391">
        <f t="shared" si="49"/>
        <v>6788748.2312667156</v>
      </c>
      <c r="R35" s="391">
        <f t="shared" si="49"/>
        <v>6941495.0664702151</v>
      </c>
      <c r="S35" s="391">
        <f t="shared" si="49"/>
        <v>7097678.7054657945</v>
      </c>
      <c r="T35" s="391">
        <f t="shared" si="49"/>
        <v>7257376.476338774</v>
      </c>
    </row>
    <row r="36" spans="1:20">
      <c r="B36" s="114"/>
      <c r="C36" s="114"/>
      <c r="F36" s="393">
        <v>5384723.4000000004</v>
      </c>
      <c r="G36" s="393">
        <v>5505879.6765000001</v>
      </c>
      <c r="H36" s="393">
        <v>5629761.9692212492</v>
      </c>
      <c r="I36" s="393">
        <v>5756431.6135287276</v>
      </c>
      <c r="J36" s="393">
        <v>5885951.3248331249</v>
      </c>
      <c r="K36" s="393">
        <v>6018385.2296418687</v>
      </c>
      <c r="L36" s="393">
        <v>6153798.8973088106</v>
      </c>
      <c r="M36" s="393">
        <v>6292259.3724982599</v>
      </c>
      <c r="N36" s="393">
        <v>6433835.2083794698</v>
      </c>
      <c r="O36" s="393">
        <v>6578596.5005680071</v>
      </c>
      <c r="P36" s="393">
        <v>6726614.9218307873</v>
      </c>
      <c r="Q36" s="393">
        <v>6877963.7575719794</v>
      </c>
      <c r="R36" s="393">
        <v>7032717.9421173483</v>
      </c>
      <c r="S36" s="393">
        <v>7190954.0958149871</v>
      </c>
      <c r="T36" s="393">
        <v>7352750.5629708255</v>
      </c>
    </row>
    <row r="37" spans="1:20">
      <c r="B37" s="114"/>
      <c r="C37" s="114" t="s">
        <v>723</v>
      </c>
      <c r="F37" s="109"/>
      <c r="G37" s="109"/>
      <c r="H37" s="109"/>
      <c r="I37" s="109"/>
    </row>
    <row r="38" spans="1:20">
      <c r="A38" s="895" t="s">
        <v>722</v>
      </c>
      <c r="B38" s="1104">
        <v>2</v>
      </c>
      <c r="C38" s="1104">
        <f>INDEX(M63:M73,B38)</f>
        <v>0.5</v>
      </c>
      <c r="D38" s="895"/>
      <c r="E38" s="895"/>
      <c r="F38" s="896">
        <f>($C$38*1)*100000</f>
        <v>50000</v>
      </c>
      <c r="G38" s="896">
        <f>F38*$B$45</f>
        <v>51125</v>
      </c>
      <c r="H38" s="896">
        <f t="shared" ref="H38:T38" si="50">G38*$B$45</f>
        <v>52275.3125</v>
      </c>
      <c r="I38" s="896">
        <f t="shared" si="50"/>
        <v>53451.507031249996</v>
      </c>
      <c r="J38" s="896">
        <f t="shared" si="50"/>
        <v>54654.165939453116</v>
      </c>
      <c r="K38" s="896">
        <f t="shared" si="50"/>
        <v>55883.884673090812</v>
      </c>
      <c r="L38" s="896">
        <f t="shared" si="50"/>
        <v>57141.27207823535</v>
      </c>
      <c r="M38" s="896">
        <f t="shared" si="50"/>
        <v>58426.950699995643</v>
      </c>
      <c r="N38" s="896">
        <f t="shared" si="50"/>
        <v>59741.55709074554</v>
      </c>
      <c r="O38" s="896">
        <f t="shared" si="50"/>
        <v>61085.74212528731</v>
      </c>
      <c r="P38" s="896">
        <f t="shared" si="50"/>
        <v>62460.171323106275</v>
      </c>
      <c r="Q38" s="896">
        <f t="shared" si="50"/>
        <v>63865.525177876167</v>
      </c>
      <c r="R38" s="896">
        <f t="shared" si="50"/>
        <v>65302.499494378375</v>
      </c>
      <c r="S38" s="896">
        <f t="shared" si="50"/>
        <v>66771.805733001893</v>
      </c>
      <c r="T38" s="896">
        <f t="shared" si="50"/>
        <v>68274.171361994435</v>
      </c>
    </row>
    <row r="39" spans="1:20">
      <c r="F39" s="388"/>
      <c r="G39" s="388"/>
      <c r="H39" s="388"/>
      <c r="I39" s="388"/>
    </row>
    <row r="40" spans="1:20">
      <c r="F40">
        <f>F6</f>
        <v>2016</v>
      </c>
      <c r="G40">
        <f t="shared" ref="G40:T40" si="51">G6</f>
        <v>2017</v>
      </c>
      <c r="H40">
        <f t="shared" si="51"/>
        <v>2018</v>
      </c>
      <c r="I40">
        <f t="shared" si="51"/>
        <v>2019</v>
      </c>
      <c r="J40">
        <f t="shared" si="51"/>
        <v>2020</v>
      </c>
      <c r="K40">
        <f t="shared" si="51"/>
        <v>2021</v>
      </c>
      <c r="L40">
        <f t="shared" si="51"/>
        <v>2022</v>
      </c>
      <c r="M40">
        <f t="shared" si="51"/>
        <v>2023</v>
      </c>
      <c r="N40">
        <f t="shared" si="51"/>
        <v>2024</v>
      </c>
      <c r="O40">
        <f t="shared" si="51"/>
        <v>2025</v>
      </c>
      <c r="P40">
        <f t="shared" si="51"/>
        <v>2026</v>
      </c>
      <c r="Q40">
        <f t="shared" si="51"/>
        <v>2027</v>
      </c>
      <c r="R40">
        <f t="shared" si="51"/>
        <v>2028</v>
      </c>
      <c r="S40">
        <f t="shared" si="51"/>
        <v>2029</v>
      </c>
      <c r="T40">
        <f t="shared" si="51"/>
        <v>2030</v>
      </c>
    </row>
    <row r="41" spans="1:20">
      <c r="C41" s="141"/>
      <c r="D41" s="141"/>
      <c r="E41" s="1101"/>
      <c r="F41" s="1102">
        <v>31</v>
      </c>
      <c r="G41" s="1104">
        <v>31</v>
      </c>
      <c r="H41" s="1104">
        <v>31</v>
      </c>
      <c r="I41" s="1104">
        <v>31</v>
      </c>
      <c r="J41" s="1104">
        <v>31</v>
      </c>
      <c r="K41" s="1104">
        <v>31</v>
      </c>
      <c r="L41" s="1104">
        <v>31</v>
      </c>
      <c r="M41" s="1104">
        <v>31</v>
      </c>
      <c r="N41" s="1104">
        <v>31</v>
      </c>
      <c r="O41" s="1104">
        <v>31</v>
      </c>
      <c r="P41" s="1104">
        <v>31</v>
      </c>
      <c r="Q41" s="1104">
        <v>31</v>
      </c>
      <c r="R41" s="1104">
        <v>31</v>
      </c>
      <c r="S41" s="1104">
        <v>31</v>
      </c>
      <c r="T41" s="1104">
        <v>31</v>
      </c>
    </row>
    <row r="42" spans="1:20">
      <c r="C42" s="141"/>
      <c r="D42" s="141"/>
      <c r="E42" s="1101"/>
      <c r="F42" s="1101">
        <f>INDEX($K$63:$L$103,F41,2)</f>
        <v>0</v>
      </c>
      <c r="G42" s="1101">
        <f>INDEX($K$63:$L$123,G41,2)</f>
        <v>0</v>
      </c>
      <c r="H42" s="1101">
        <f t="shared" ref="H42:T42" si="52">INDEX($K$63:$L$123,H41,2)</f>
        <v>0</v>
      </c>
      <c r="I42" s="1101">
        <f t="shared" si="52"/>
        <v>0</v>
      </c>
      <c r="J42" s="1101">
        <f t="shared" si="52"/>
        <v>0</v>
      </c>
      <c r="K42" s="1101">
        <f t="shared" si="52"/>
        <v>0</v>
      </c>
      <c r="L42" s="1101">
        <f t="shared" si="52"/>
        <v>0</v>
      </c>
      <c r="M42" s="1101">
        <f t="shared" si="52"/>
        <v>0</v>
      </c>
      <c r="N42" s="1101">
        <f t="shared" si="52"/>
        <v>0</v>
      </c>
      <c r="O42" s="1101">
        <f t="shared" si="52"/>
        <v>0</v>
      </c>
      <c r="P42" s="1101">
        <f t="shared" si="52"/>
        <v>0</v>
      </c>
      <c r="Q42" s="1101">
        <f t="shared" si="52"/>
        <v>0</v>
      </c>
      <c r="R42" s="1101">
        <f t="shared" si="52"/>
        <v>0</v>
      </c>
      <c r="S42" s="1101">
        <f t="shared" si="52"/>
        <v>0</v>
      </c>
      <c r="T42" s="1101">
        <f t="shared" si="52"/>
        <v>0</v>
      </c>
    </row>
    <row r="43" spans="1:20">
      <c r="B43" s="394" t="s">
        <v>507</v>
      </c>
      <c r="C43" s="141"/>
      <c r="D43" s="141" t="s">
        <v>744</v>
      </c>
      <c r="E43" s="1103">
        <v>31</v>
      </c>
      <c r="F43" s="1101">
        <f>INDEX($K$63:$L$123,E43,2)</f>
        <v>0</v>
      </c>
    </row>
    <row r="44" spans="1:20">
      <c r="C44" s="141"/>
      <c r="D44" s="141"/>
      <c r="E44" s="1103">
        <v>31</v>
      </c>
      <c r="F44" s="1101">
        <f t="shared" ref="F44:F61" si="53">INDEX($K$63:$L$123,E44,2)</f>
        <v>0</v>
      </c>
    </row>
    <row r="45" spans="1:20">
      <c r="B45" s="395">
        <f>Graphs!C5+1</f>
        <v>1.0225</v>
      </c>
      <c r="C45" s="141"/>
      <c r="D45" s="141"/>
      <c r="E45" s="1103">
        <v>37</v>
      </c>
      <c r="F45" s="1101">
        <f t="shared" si="53"/>
        <v>0.06</v>
      </c>
    </row>
    <row r="46" spans="1:20">
      <c r="C46" s="141"/>
      <c r="D46" s="141"/>
      <c r="E46" s="1103">
        <v>31</v>
      </c>
      <c r="F46" s="1101">
        <f t="shared" si="53"/>
        <v>0</v>
      </c>
    </row>
    <row r="47" spans="1:20">
      <c r="C47" s="141"/>
      <c r="D47" s="141"/>
      <c r="E47" s="1103">
        <v>33</v>
      </c>
      <c r="F47" s="1101">
        <f t="shared" si="53"/>
        <v>0.02</v>
      </c>
    </row>
    <row r="48" spans="1:20">
      <c r="C48" s="141"/>
      <c r="D48" s="141"/>
      <c r="E48" s="1103">
        <v>31</v>
      </c>
      <c r="F48" s="1101">
        <f t="shared" si="53"/>
        <v>0</v>
      </c>
    </row>
    <row r="49" spans="3:14">
      <c r="C49" s="141"/>
      <c r="D49" s="141"/>
      <c r="E49" s="1103">
        <v>31</v>
      </c>
      <c r="F49" s="1101">
        <f t="shared" si="53"/>
        <v>0</v>
      </c>
    </row>
    <row r="50" spans="3:14">
      <c r="C50" s="141"/>
      <c r="D50" s="141"/>
      <c r="E50" s="1103">
        <v>32</v>
      </c>
      <c r="F50" s="1101">
        <f t="shared" si="53"/>
        <v>0.01</v>
      </c>
    </row>
    <row r="51" spans="3:14">
      <c r="C51" s="141"/>
      <c r="D51" s="141"/>
      <c r="E51" s="1103">
        <v>31</v>
      </c>
      <c r="F51" s="1101">
        <f t="shared" si="53"/>
        <v>0</v>
      </c>
    </row>
    <row r="52" spans="3:14">
      <c r="C52" s="141"/>
      <c r="D52" s="141"/>
      <c r="E52" s="1103">
        <v>36</v>
      </c>
      <c r="F52" s="1101">
        <f t="shared" si="53"/>
        <v>0.05</v>
      </c>
    </row>
    <row r="53" spans="3:14">
      <c r="C53" s="141"/>
      <c r="D53" s="141"/>
      <c r="E53" s="1103">
        <v>31</v>
      </c>
      <c r="F53" s="1101">
        <f t="shared" si="53"/>
        <v>0</v>
      </c>
    </row>
    <row r="54" spans="3:14">
      <c r="C54" s="141"/>
      <c r="D54" s="141"/>
      <c r="E54" s="1103">
        <v>31</v>
      </c>
      <c r="F54" s="1101">
        <f t="shared" si="53"/>
        <v>0</v>
      </c>
    </row>
    <row r="55" spans="3:14">
      <c r="C55" s="141"/>
      <c r="D55" s="141"/>
      <c r="E55" s="1103">
        <v>32</v>
      </c>
      <c r="F55" s="1101">
        <f t="shared" si="53"/>
        <v>0.01</v>
      </c>
    </row>
    <row r="56" spans="3:14">
      <c r="C56" s="141"/>
      <c r="D56" s="141"/>
      <c r="E56" s="1103">
        <v>31</v>
      </c>
      <c r="F56" s="1101">
        <f t="shared" si="53"/>
        <v>0</v>
      </c>
    </row>
    <row r="57" spans="3:14">
      <c r="C57" s="141"/>
      <c r="D57" s="141"/>
      <c r="E57" s="1103">
        <v>31</v>
      </c>
      <c r="F57" s="1101">
        <f t="shared" si="53"/>
        <v>0</v>
      </c>
    </row>
    <row r="58" spans="3:14">
      <c r="C58" s="141"/>
      <c r="D58" s="141"/>
      <c r="E58" s="1103">
        <v>37</v>
      </c>
      <c r="F58" s="1101">
        <f t="shared" si="53"/>
        <v>0.06</v>
      </c>
    </row>
    <row r="59" spans="3:14">
      <c r="C59" s="141"/>
      <c r="D59" s="141"/>
      <c r="E59" s="1103">
        <v>31</v>
      </c>
      <c r="F59" s="1101">
        <f t="shared" si="53"/>
        <v>0</v>
      </c>
    </row>
    <row r="60" spans="3:14">
      <c r="C60" s="141"/>
      <c r="D60" s="141"/>
      <c r="E60" s="1103">
        <v>31</v>
      </c>
      <c r="F60" s="1101">
        <f t="shared" si="53"/>
        <v>0</v>
      </c>
    </row>
    <row r="61" spans="3:14">
      <c r="C61" s="141"/>
      <c r="D61" s="141"/>
      <c r="E61" s="1101">
        <v>31</v>
      </c>
      <c r="F61" s="1101">
        <f t="shared" si="53"/>
        <v>0</v>
      </c>
    </row>
    <row r="62" spans="3:14">
      <c r="C62" s="141"/>
      <c r="D62" s="141"/>
      <c r="E62" s="141"/>
      <c r="F62" s="141"/>
    </row>
    <row r="63" spans="3:14">
      <c r="C63" s="141"/>
      <c r="D63" s="141"/>
      <c r="E63" s="141"/>
      <c r="F63" s="141"/>
      <c r="K63" s="952">
        <v>1</v>
      </c>
      <c r="L63" s="953">
        <v>-0.3</v>
      </c>
      <c r="M63">
        <v>0</v>
      </c>
      <c r="N63">
        <f>M63*100</f>
        <v>0</v>
      </c>
    </row>
    <row r="64" spans="3:14">
      <c r="C64" s="141"/>
      <c r="D64" s="141"/>
      <c r="E64" s="141"/>
      <c r="F64" s="141"/>
      <c r="K64" s="952">
        <v>2</v>
      </c>
      <c r="L64" s="953">
        <v>-0.28999999999999998</v>
      </c>
      <c r="M64">
        <v>0.5</v>
      </c>
      <c r="N64">
        <f t="shared" ref="N64:N73" si="54">M64*100</f>
        <v>50</v>
      </c>
    </row>
    <row r="65" spans="3:14">
      <c r="C65" s="141"/>
      <c r="D65" s="141"/>
      <c r="E65" s="141"/>
      <c r="K65" s="952">
        <v>3</v>
      </c>
      <c r="L65" s="953">
        <v>-0.28000000000000003</v>
      </c>
      <c r="M65">
        <v>1</v>
      </c>
      <c r="N65">
        <f t="shared" si="54"/>
        <v>100</v>
      </c>
    </row>
    <row r="66" spans="3:14">
      <c r="C66" s="141"/>
      <c r="D66" s="141"/>
      <c r="E66" s="141"/>
      <c r="K66" s="952">
        <v>4</v>
      </c>
      <c r="L66" s="953">
        <v>-0.27</v>
      </c>
      <c r="M66">
        <v>1.5</v>
      </c>
      <c r="N66">
        <f t="shared" si="54"/>
        <v>150</v>
      </c>
    </row>
    <row r="67" spans="3:14">
      <c r="K67" s="952">
        <v>5</v>
      </c>
      <c r="L67" s="953">
        <v>-0.26</v>
      </c>
      <c r="M67">
        <v>2</v>
      </c>
      <c r="N67">
        <f t="shared" si="54"/>
        <v>200</v>
      </c>
    </row>
    <row r="68" spans="3:14">
      <c r="K68" s="952">
        <v>6</v>
      </c>
      <c r="L68" s="953">
        <v>-0.25</v>
      </c>
      <c r="M68">
        <v>2.5</v>
      </c>
      <c r="N68">
        <f t="shared" si="54"/>
        <v>250</v>
      </c>
    </row>
    <row r="69" spans="3:14">
      <c r="K69" s="952">
        <v>7</v>
      </c>
      <c r="L69" s="953">
        <v>-0.24</v>
      </c>
      <c r="M69">
        <v>3</v>
      </c>
      <c r="N69">
        <f t="shared" si="54"/>
        <v>300</v>
      </c>
    </row>
    <row r="70" spans="3:14">
      <c r="K70" s="952">
        <v>8</v>
      </c>
      <c r="L70" s="953">
        <v>-0.23</v>
      </c>
      <c r="M70">
        <v>3.5</v>
      </c>
      <c r="N70">
        <f t="shared" si="54"/>
        <v>350</v>
      </c>
    </row>
    <row r="71" spans="3:14">
      <c r="K71" s="952">
        <v>9</v>
      </c>
      <c r="L71" s="953">
        <v>-0.22</v>
      </c>
      <c r="M71">
        <v>4</v>
      </c>
      <c r="N71">
        <f t="shared" si="54"/>
        <v>400</v>
      </c>
    </row>
    <row r="72" spans="3:14">
      <c r="K72" s="952">
        <v>10</v>
      </c>
      <c r="L72" s="953">
        <v>-0.21</v>
      </c>
      <c r="M72">
        <v>4.5</v>
      </c>
      <c r="N72">
        <f t="shared" si="54"/>
        <v>450</v>
      </c>
    </row>
    <row r="73" spans="3:14">
      <c r="K73" s="952">
        <v>11</v>
      </c>
      <c r="L73" s="953">
        <v>-0.2</v>
      </c>
      <c r="M73">
        <v>5</v>
      </c>
      <c r="N73">
        <f t="shared" si="54"/>
        <v>500</v>
      </c>
    </row>
    <row r="74" spans="3:14">
      <c r="K74" s="952">
        <v>12</v>
      </c>
      <c r="L74" s="953">
        <v>-0.19</v>
      </c>
    </row>
    <row r="75" spans="3:14">
      <c r="K75" s="952">
        <v>13</v>
      </c>
      <c r="L75" s="953">
        <v>-0.18</v>
      </c>
    </row>
    <row r="76" spans="3:14">
      <c r="K76" s="952">
        <v>14</v>
      </c>
      <c r="L76" s="953">
        <v>-0.17</v>
      </c>
    </row>
    <row r="77" spans="3:14">
      <c r="K77" s="952">
        <v>15</v>
      </c>
      <c r="L77" s="953">
        <v>-0.16</v>
      </c>
    </row>
    <row r="78" spans="3:14">
      <c r="K78" s="952">
        <v>16</v>
      </c>
      <c r="L78" s="953">
        <v>-0.15</v>
      </c>
    </row>
    <row r="79" spans="3:14">
      <c r="K79" s="952">
        <v>17</v>
      </c>
      <c r="L79" s="953">
        <v>-0.14000000000000001</v>
      </c>
    </row>
    <row r="80" spans="3:14">
      <c r="K80" s="952">
        <v>18</v>
      </c>
      <c r="L80" s="953">
        <v>-0.13</v>
      </c>
    </row>
    <row r="81" spans="11:12">
      <c r="K81" s="952">
        <v>19</v>
      </c>
      <c r="L81" s="953">
        <v>-0.12</v>
      </c>
    </row>
    <row r="82" spans="11:12">
      <c r="K82" s="952">
        <v>20</v>
      </c>
      <c r="L82" s="953">
        <v>-0.11</v>
      </c>
    </row>
    <row r="83" spans="11:12">
      <c r="K83" s="952">
        <v>21</v>
      </c>
      <c r="L83" s="953">
        <v>-0.1</v>
      </c>
    </row>
    <row r="84" spans="11:12">
      <c r="K84" s="952">
        <v>22</v>
      </c>
      <c r="L84" s="953">
        <v>-0.09</v>
      </c>
    </row>
    <row r="85" spans="11:12">
      <c r="K85" s="952">
        <v>23</v>
      </c>
      <c r="L85" s="953">
        <v>-0.08</v>
      </c>
    </row>
    <row r="86" spans="11:12">
      <c r="K86" s="952">
        <v>24</v>
      </c>
      <c r="L86" s="953">
        <v>-7.0000000000000007E-2</v>
      </c>
    </row>
    <row r="87" spans="11:12">
      <c r="K87" s="952">
        <v>25</v>
      </c>
      <c r="L87" s="953">
        <v>-0.06</v>
      </c>
    </row>
    <row r="88" spans="11:12">
      <c r="K88" s="952">
        <v>26</v>
      </c>
      <c r="L88" s="953">
        <v>-0.05</v>
      </c>
    </row>
    <row r="89" spans="11:12">
      <c r="K89" s="952">
        <v>27</v>
      </c>
      <c r="L89" s="953">
        <v>-0.04</v>
      </c>
    </row>
    <row r="90" spans="11:12">
      <c r="K90" s="952">
        <v>28</v>
      </c>
      <c r="L90" s="953">
        <v>-0.03</v>
      </c>
    </row>
    <row r="91" spans="11:12">
      <c r="K91" s="952">
        <v>29</v>
      </c>
      <c r="L91" s="953">
        <v>-0.02</v>
      </c>
    </row>
    <row r="92" spans="11:12">
      <c r="K92" s="952">
        <v>30</v>
      </c>
      <c r="L92" s="953">
        <v>-0.01</v>
      </c>
    </row>
    <row r="93" spans="11:12">
      <c r="K93" s="952">
        <v>31</v>
      </c>
      <c r="L93" s="953">
        <v>0</v>
      </c>
    </row>
    <row r="94" spans="11:12">
      <c r="K94" s="952">
        <v>32</v>
      </c>
      <c r="L94" s="953">
        <v>0.01</v>
      </c>
    </row>
    <row r="95" spans="11:12">
      <c r="K95" s="952">
        <v>33</v>
      </c>
      <c r="L95" s="953">
        <v>0.02</v>
      </c>
    </row>
    <row r="96" spans="11:12">
      <c r="K96" s="952">
        <v>34</v>
      </c>
      <c r="L96" s="953">
        <v>0.03</v>
      </c>
    </row>
    <row r="97" spans="11:12">
      <c r="K97" s="952">
        <v>35</v>
      </c>
      <c r="L97" s="953">
        <v>0.04</v>
      </c>
    </row>
    <row r="98" spans="11:12">
      <c r="K98" s="952">
        <v>36</v>
      </c>
      <c r="L98" s="953">
        <v>0.05</v>
      </c>
    </row>
    <row r="99" spans="11:12">
      <c r="K99" s="952">
        <v>37</v>
      </c>
      <c r="L99" s="953">
        <v>0.06</v>
      </c>
    </row>
    <row r="100" spans="11:12">
      <c r="K100" s="952">
        <v>38</v>
      </c>
      <c r="L100" s="953">
        <v>7.0000000000000007E-2</v>
      </c>
    </row>
    <row r="101" spans="11:12">
      <c r="K101" s="952">
        <v>39</v>
      </c>
      <c r="L101" s="953">
        <v>0.08</v>
      </c>
    </row>
    <row r="102" spans="11:12">
      <c r="K102" s="952">
        <v>40</v>
      </c>
      <c r="L102" s="953">
        <v>0.09</v>
      </c>
    </row>
    <row r="103" spans="11:12">
      <c r="K103" s="952">
        <v>41</v>
      </c>
      <c r="L103" s="953">
        <v>0.1</v>
      </c>
    </row>
    <row r="104" spans="11:12">
      <c r="K104" s="952">
        <v>42</v>
      </c>
      <c r="L104" s="953">
        <v>0.11</v>
      </c>
    </row>
    <row r="105" spans="11:12">
      <c r="K105" s="952">
        <v>43</v>
      </c>
      <c r="L105" s="953">
        <v>0.12</v>
      </c>
    </row>
    <row r="106" spans="11:12">
      <c r="K106" s="952">
        <v>44</v>
      </c>
      <c r="L106" s="953">
        <v>0.13</v>
      </c>
    </row>
    <row r="107" spans="11:12">
      <c r="K107" s="952">
        <v>45</v>
      </c>
      <c r="L107" s="953">
        <v>0.14000000000000001</v>
      </c>
    </row>
    <row r="108" spans="11:12">
      <c r="K108" s="952">
        <v>46</v>
      </c>
      <c r="L108" s="953">
        <v>0.15</v>
      </c>
    </row>
    <row r="109" spans="11:12">
      <c r="K109" s="952">
        <v>47</v>
      </c>
      <c r="L109" s="953">
        <v>0.16</v>
      </c>
    </row>
    <row r="110" spans="11:12">
      <c r="K110" s="952">
        <v>48</v>
      </c>
      <c r="L110" s="953">
        <v>0.17</v>
      </c>
    </row>
    <row r="111" spans="11:12">
      <c r="K111" s="952">
        <v>49</v>
      </c>
      <c r="L111" s="953">
        <v>0.18</v>
      </c>
    </row>
    <row r="112" spans="11:12">
      <c r="K112" s="952">
        <v>50</v>
      </c>
      <c r="L112" s="953">
        <v>0.19</v>
      </c>
    </row>
    <row r="113" spans="11:12">
      <c r="K113" s="952">
        <v>51</v>
      </c>
      <c r="L113" s="953">
        <v>0.2</v>
      </c>
    </row>
    <row r="114" spans="11:12">
      <c r="K114" s="952">
        <v>52</v>
      </c>
      <c r="L114" s="953">
        <v>0.21</v>
      </c>
    </row>
    <row r="115" spans="11:12">
      <c r="K115" s="952">
        <v>53</v>
      </c>
      <c r="L115" s="953">
        <v>0.22</v>
      </c>
    </row>
    <row r="116" spans="11:12">
      <c r="K116" s="952">
        <v>54</v>
      </c>
      <c r="L116" s="953">
        <v>0.23</v>
      </c>
    </row>
    <row r="117" spans="11:12">
      <c r="K117" s="952">
        <v>55</v>
      </c>
      <c r="L117" s="953">
        <v>0.24</v>
      </c>
    </row>
    <row r="118" spans="11:12">
      <c r="K118" s="952">
        <v>56</v>
      </c>
      <c r="L118" s="953">
        <v>0.25</v>
      </c>
    </row>
    <row r="119" spans="11:12">
      <c r="K119" s="952">
        <v>57</v>
      </c>
      <c r="L119" s="953">
        <v>0.26</v>
      </c>
    </row>
    <row r="120" spans="11:12">
      <c r="K120" s="952">
        <v>58</v>
      </c>
      <c r="L120" s="953">
        <v>0.27000000000000102</v>
      </c>
    </row>
    <row r="121" spans="11:12">
      <c r="K121" s="952">
        <v>59</v>
      </c>
      <c r="L121" s="953">
        <v>0.28000000000000103</v>
      </c>
    </row>
    <row r="122" spans="11:12">
      <c r="K122" s="952">
        <v>60</v>
      </c>
      <c r="L122" s="953">
        <v>0.29000000000000098</v>
      </c>
    </row>
    <row r="123" spans="11:12">
      <c r="K123" s="952">
        <v>61</v>
      </c>
      <c r="L123" s="953">
        <v>0.30000000000000099</v>
      </c>
    </row>
  </sheetData>
  <sheetProtection password="CC29" sheet="1" objects="1" scenarios="1" selectLockedCells="1" selectUnlockedCells="1"/>
  <dataConsolidate/>
  <dataValidations disablePrompts="1" count="1">
    <dataValidation type="list" allowBlank="1" showInputMessage="1" showErrorMessage="1" sqref="C38">
      <formula1>$M$63:$M$73</formula1>
    </dataValidation>
  </dataValidations>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5778" r:id="rId4" name="Drop Down 2">
              <controlPr defaultSize="0" autoLine="0" autoPict="0">
                <anchor moveWithCells="1">
                  <from>
                    <xdr:col>11</xdr:col>
                    <xdr:colOff>504825</xdr:colOff>
                    <xdr:row>54</xdr:row>
                    <xdr:rowOff>171450</xdr:rowOff>
                  </from>
                  <to>
                    <xdr:col>14</xdr:col>
                    <xdr:colOff>9525</xdr:colOff>
                    <xdr:row>56</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W16"/>
  <sheetViews>
    <sheetView workbookViewId="0">
      <selection activeCell="H9" sqref="H9"/>
    </sheetView>
  </sheetViews>
  <sheetFormatPr defaultColWidth="9.140625" defaultRowHeight="12.75"/>
  <cols>
    <col min="1" max="8" width="9" style="157" customWidth="1"/>
    <col min="9" max="9" width="28.140625" style="157" customWidth="1"/>
    <col min="10" max="23" width="9" style="157" customWidth="1"/>
    <col min="24" max="16384" width="9.140625" style="157"/>
  </cols>
  <sheetData>
    <row r="1" spans="1:23" s="962" customFormat="1">
      <c r="A1" s="962" t="s">
        <v>585</v>
      </c>
      <c r="B1" s="962" t="s">
        <v>755</v>
      </c>
      <c r="C1" s="962" t="s">
        <v>756</v>
      </c>
      <c r="D1" s="962" t="s">
        <v>757</v>
      </c>
      <c r="E1" s="962" t="s">
        <v>53</v>
      </c>
      <c r="F1" s="962" t="s">
        <v>758</v>
      </c>
      <c r="G1" s="962" t="s">
        <v>759</v>
      </c>
      <c r="H1" s="962" t="s">
        <v>760</v>
      </c>
      <c r="I1" s="962" t="s">
        <v>761</v>
      </c>
      <c r="J1" s="962" t="s">
        <v>762</v>
      </c>
    </row>
    <row r="2" spans="1:23">
      <c r="A2" s="162" t="s">
        <v>763</v>
      </c>
      <c r="B2" s="963">
        <v>91400</v>
      </c>
      <c r="C2" s="963">
        <v>30810</v>
      </c>
      <c r="D2" s="963">
        <v>23180</v>
      </c>
      <c r="E2" s="157">
        <v>100</v>
      </c>
      <c r="F2" s="157">
        <f>E2*(B2+C2+D2)</f>
        <v>14539000</v>
      </c>
      <c r="G2" s="162" t="s">
        <v>764</v>
      </c>
      <c r="H2" s="162" t="s">
        <v>765</v>
      </c>
      <c r="I2" s="162" t="s">
        <v>766</v>
      </c>
      <c r="J2" s="162" t="s">
        <v>767</v>
      </c>
    </row>
    <row r="3" spans="1:23">
      <c r="A3" s="162" t="s">
        <v>768</v>
      </c>
      <c r="B3" s="963">
        <v>31590</v>
      </c>
      <c r="C3" s="963">
        <v>44210</v>
      </c>
      <c r="D3" s="963">
        <v>8320</v>
      </c>
      <c r="E3" s="157">
        <v>200</v>
      </c>
      <c r="F3" s="157">
        <f>E3*(B3+C3+D3)</f>
        <v>16824000</v>
      </c>
      <c r="G3" s="162" t="s">
        <v>769</v>
      </c>
      <c r="H3" s="162" t="s">
        <v>765</v>
      </c>
      <c r="I3" s="162" t="s">
        <v>766</v>
      </c>
      <c r="J3" s="162" t="s">
        <v>767</v>
      </c>
    </row>
    <row r="4" spans="1:23">
      <c r="A4" s="162" t="s">
        <v>770</v>
      </c>
      <c r="B4" s="963">
        <v>8190</v>
      </c>
      <c r="C4" s="963">
        <v>50470</v>
      </c>
      <c r="D4" s="963">
        <v>1970</v>
      </c>
      <c r="E4" s="157">
        <v>300</v>
      </c>
      <c r="F4" s="157">
        <f>E4*(B4+C4+D4)</f>
        <v>18189000</v>
      </c>
      <c r="G4" s="162" t="s">
        <v>771</v>
      </c>
      <c r="H4" s="157" t="s">
        <v>772</v>
      </c>
      <c r="I4" s="157" t="s">
        <v>773</v>
      </c>
      <c r="J4" s="157" t="s">
        <v>774</v>
      </c>
    </row>
    <row r="5" spans="1:23" ht="51.75" customHeight="1">
      <c r="A5" s="162" t="s">
        <v>775</v>
      </c>
      <c r="B5" s="963">
        <v>250</v>
      </c>
      <c r="C5" s="963">
        <v>1760</v>
      </c>
      <c r="D5" s="963">
        <v>50</v>
      </c>
      <c r="E5" s="157">
        <v>500</v>
      </c>
      <c r="F5" s="157">
        <f>E5*(B5+C5+D5)</f>
        <v>1030000</v>
      </c>
      <c r="G5" s="162" t="s">
        <v>776</v>
      </c>
      <c r="H5" s="157" t="s">
        <v>777</v>
      </c>
      <c r="I5" s="964" t="s">
        <v>778</v>
      </c>
      <c r="J5" s="157" t="s">
        <v>774</v>
      </c>
    </row>
    <row r="6" spans="1:23">
      <c r="A6" s="162" t="s">
        <v>142</v>
      </c>
      <c r="F6" s="157">
        <f>SUM(F2:F5)</f>
        <v>50582000</v>
      </c>
      <c r="J6" s="157" t="s">
        <v>779</v>
      </c>
    </row>
    <row r="14" spans="1:23">
      <c r="E14" s="157">
        <v>2012</v>
      </c>
      <c r="F14" s="157">
        <f>E14+1</f>
        <v>2013</v>
      </c>
      <c r="G14" s="157">
        <f t="shared" ref="G14:W14" si="0">F14+1</f>
        <v>2014</v>
      </c>
      <c r="H14" s="157">
        <f t="shared" si="0"/>
        <v>2015</v>
      </c>
      <c r="I14" s="157">
        <f t="shared" si="0"/>
        <v>2016</v>
      </c>
      <c r="J14" s="157">
        <f t="shared" si="0"/>
        <v>2017</v>
      </c>
      <c r="K14" s="157">
        <f t="shared" si="0"/>
        <v>2018</v>
      </c>
      <c r="L14" s="157">
        <f t="shared" si="0"/>
        <v>2019</v>
      </c>
      <c r="M14" s="157">
        <f t="shared" si="0"/>
        <v>2020</v>
      </c>
      <c r="N14" s="157">
        <f t="shared" si="0"/>
        <v>2021</v>
      </c>
      <c r="O14" s="157">
        <f t="shared" si="0"/>
        <v>2022</v>
      </c>
      <c r="P14" s="157">
        <f t="shared" si="0"/>
        <v>2023</v>
      </c>
      <c r="Q14" s="157">
        <f t="shared" si="0"/>
        <v>2024</v>
      </c>
      <c r="R14" s="157">
        <f t="shared" si="0"/>
        <v>2025</v>
      </c>
      <c r="S14" s="157">
        <f t="shared" si="0"/>
        <v>2026</v>
      </c>
      <c r="T14" s="157">
        <f t="shared" si="0"/>
        <v>2027</v>
      </c>
      <c r="U14" s="157">
        <f t="shared" si="0"/>
        <v>2028</v>
      </c>
      <c r="V14" s="157">
        <f t="shared" si="0"/>
        <v>2029</v>
      </c>
      <c r="W14" s="157">
        <f t="shared" si="0"/>
        <v>2030</v>
      </c>
    </row>
    <row r="15" spans="1:23">
      <c r="D15" s="157" t="s">
        <v>68</v>
      </c>
      <c r="E15" s="157">
        <f>F6/1000000</f>
        <v>50.582000000000001</v>
      </c>
      <c r="F15" s="157">
        <f>E15*F16/E16</f>
        <v>51.113861892289755</v>
      </c>
      <c r="G15" s="157">
        <f t="shared" ref="G15:W15" si="1">F15*G16/F16</f>
        <v>51.643651595388768</v>
      </c>
      <c r="H15" s="157">
        <f t="shared" si="1"/>
        <v>52.171507255243093</v>
      </c>
      <c r="I15" s="157">
        <f t="shared" si="1"/>
        <v>52.695909266446179</v>
      </c>
      <c r="J15" s="157">
        <f t="shared" si="1"/>
        <v>53.214992658726374</v>
      </c>
      <c r="K15" s="157">
        <f t="shared" si="1"/>
        <v>53.728964651002741</v>
      </c>
      <c r="L15" s="157">
        <f t="shared" si="1"/>
        <v>54.235545835165475</v>
      </c>
      <c r="M15" s="157">
        <f t="shared" si="1"/>
        <v>54.735565086890865</v>
      </c>
      <c r="N15" s="157">
        <f t="shared" si="1"/>
        <v>55.225292465635583</v>
      </c>
      <c r="O15" s="157">
        <f t="shared" si="1"/>
        <v>55.705902211941051</v>
      </c>
      <c r="P15" s="157">
        <f t="shared" si="1"/>
        <v>56.176910814996099</v>
      </c>
      <c r="Q15" s="157">
        <f t="shared" si="1"/>
        <v>56.638318274800717</v>
      </c>
      <c r="R15" s="157">
        <f t="shared" si="1"/>
        <v>57.089848299462808</v>
      </c>
      <c r="S15" s="157">
        <f t="shared" si="1"/>
        <v>57.531362743036325</v>
      </c>
      <c r="T15" s="157">
        <f t="shared" si="1"/>
        <v>57.965417305523182</v>
      </c>
      <c r="U15" s="157">
        <f t="shared" si="1"/>
        <v>58.390630527462889</v>
      </c>
      <c r="V15" s="157">
        <f t="shared" si="1"/>
        <v>58.807140554801492</v>
      </c>
      <c r="W15" s="157">
        <f t="shared" si="1"/>
        <v>59.218055671325089</v>
      </c>
    </row>
    <row r="16" spans="1:23">
      <c r="D16" s="157" t="s">
        <v>794</v>
      </c>
      <c r="E16" s="940">
        <v>732298</v>
      </c>
      <c r="F16" s="940">
        <v>739998</v>
      </c>
      <c r="G16" s="940">
        <v>747668</v>
      </c>
      <c r="H16" s="940">
        <v>755310</v>
      </c>
      <c r="I16" s="940">
        <v>762902</v>
      </c>
      <c r="J16" s="940">
        <v>770417</v>
      </c>
      <c r="K16" s="940">
        <v>777858</v>
      </c>
      <c r="L16" s="940">
        <v>785192</v>
      </c>
      <c r="M16" s="940">
        <v>792431</v>
      </c>
      <c r="N16" s="940">
        <v>799521</v>
      </c>
      <c r="O16" s="940">
        <v>806479</v>
      </c>
      <c r="P16" s="940">
        <v>813298</v>
      </c>
      <c r="Q16" s="940">
        <v>819978</v>
      </c>
      <c r="R16" s="940">
        <v>826515</v>
      </c>
      <c r="S16" s="940">
        <v>832907</v>
      </c>
      <c r="T16" s="940">
        <v>839191</v>
      </c>
      <c r="U16" s="940">
        <v>845347</v>
      </c>
      <c r="V16" s="940">
        <v>851377</v>
      </c>
      <c r="W16" s="940">
        <v>857326</v>
      </c>
    </row>
  </sheetData>
  <sheetProtection password="CC29" sheet="1" objects="1" scenarios="1"/>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P16"/>
  <sheetViews>
    <sheetView workbookViewId="0">
      <selection activeCell="F30" sqref="F30"/>
    </sheetView>
  </sheetViews>
  <sheetFormatPr defaultRowHeight="15"/>
  <cols>
    <col min="1" max="1" width="16.28515625" customWidth="1"/>
    <col min="2" max="2" width="14.7109375" bestFit="1" customWidth="1"/>
    <col min="3" max="3" width="13.42578125" customWidth="1"/>
    <col min="4" max="4" width="12.28515625" customWidth="1"/>
    <col min="5" max="5" width="13.28515625" customWidth="1"/>
    <col min="6" max="6" width="15" customWidth="1"/>
    <col min="7" max="7" width="14.85546875" customWidth="1"/>
    <col min="8" max="8" width="12.42578125" customWidth="1"/>
    <col min="9" max="9" width="13.42578125" customWidth="1"/>
    <col min="10" max="10" width="13" customWidth="1"/>
    <col min="11" max="11" width="12.28515625" customWidth="1"/>
    <col min="12" max="12" width="12" customWidth="1"/>
    <col min="13" max="13" width="11.7109375" customWidth="1"/>
    <col min="14" max="14" width="11.85546875" customWidth="1"/>
    <col min="15" max="15" width="13.28515625" customWidth="1"/>
  </cols>
  <sheetData>
    <row r="1" spans="1:16">
      <c r="A1" t="s">
        <v>53</v>
      </c>
      <c r="B1">
        <f>B6</f>
        <v>2016</v>
      </c>
      <c r="C1">
        <f t="shared" ref="C1:O1" si="0">C6</f>
        <v>2017</v>
      </c>
      <c r="D1">
        <f t="shared" si="0"/>
        <v>2018</v>
      </c>
      <c r="E1">
        <f t="shared" si="0"/>
        <v>2019</v>
      </c>
      <c r="F1">
        <f t="shared" si="0"/>
        <v>2020</v>
      </c>
      <c r="G1">
        <f t="shared" si="0"/>
        <v>2021</v>
      </c>
      <c r="H1">
        <f t="shared" si="0"/>
        <v>2022</v>
      </c>
      <c r="I1">
        <f t="shared" si="0"/>
        <v>2023</v>
      </c>
      <c r="J1">
        <f t="shared" si="0"/>
        <v>2024</v>
      </c>
      <c r="K1">
        <f t="shared" si="0"/>
        <v>2025</v>
      </c>
      <c r="L1">
        <f t="shared" si="0"/>
        <v>2026</v>
      </c>
      <c r="M1">
        <f t="shared" si="0"/>
        <v>2027</v>
      </c>
      <c r="N1">
        <f t="shared" si="0"/>
        <v>2028</v>
      </c>
      <c r="O1">
        <f t="shared" si="0"/>
        <v>2029</v>
      </c>
      <c r="P1">
        <f>P6</f>
        <v>2030</v>
      </c>
    </row>
    <row r="2" spans="1:16">
      <c r="A2">
        <f>'All Rev &amp; Projects'!B159</f>
        <v>0.05</v>
      </c>
      <c r="B2" s="269">
        <f>B7*$A$2/1000000</f>
        <v>6.2500000000000003E-3</v>
      </c>
      <c r="C2" s="269">
        <f t="shared" ref="C2:O2" si="1">C7*$A$2/1000000</f>
        <v>6.4062499999999996E-3</v>
      </c>
      <c r="D2" s="269">
        <f t="shared" si="1"/>
        <v>6.5664062500000002E-3</v>
      </c>
      <c r="E2" s="269">
        <f t="shared" si="1"/>
        <v>6.7305664062500001E-3</v>
      </c>
      <c r="F2" s="269">
        <f t="shared" si="1"/>
        <v>6.8988305664062499E-3</v>
      </c>
      <c r="G2" s="269">
        <f t="shared" si="1"/>
        <v>7.0713013305664062E-3</v>
      </c>
      <c r="H2" s="269">
        <f t="shared" si="1"/>
        <v>7.2480838638305668E-3</v>
      </c>
      <c r="I2" s="269">
        <f t="shared" si="1"/>
        <v>7.4292859604263304E-3</v>
      </c>
      <c r="J2" s="269">
        <f t="shared" si="1"/>
        <v>7.6150181094369884E-3</v>
      </c>
      <c r="K2" s="269">
        <f t="shared" si="1"/>
        <v>7.8053935621729123E-3</v>
      </c>
      <c r="L2" s="269">
        <f t="shared" si="1"/>
        <v>8.0005284012272353E-3</v>
      </c>
      <c r="M2" s="269">
        <f t="shared" si="1"/>
        <v>8.2005416112579162E-3</v>
      </c>
      <c r="N2" s="269">
        <f t="shared" si="1"/>
        <v>8.4055551515393647E-3</v>
      </c>
      <c r="O2" s="269">
        <f t="shared" si="1"/>
        <v>8.6156940303278497E-3</v>
      </c>
      <c r="P2" s="269">
        <f>P7*$A$2/1000000</f>
        <v>8.8310863810860448E-3</v>
      </c>
    </row>
    <row r="6" spans="1:16">
      <c r="B6">
        <v>2016</v>
      </c>
      <c r="C6">
        <v>2017</v>
      </c>
      <c r="D6">
        <v>2018</v>
      </c>
      <c r="E6">
        <v>2019</v>
      </c>
      <c r="F6">
        <v>2020</v>
      </c>
      <c r="G6">
        <v>2021</v>
      </c>
      <c r="H6">
        <v>2022</v>
      </c>
      <c r="I6">
        <v>2023</v>
      </c>
      <c r="J6">
        <v>2024</v>
      </c>
      <c r="K6">
        <v>2025</v>
      </c>
      <c r="L6">
        <v>2026</v>
      </c>
      <c r="M6">
        <v>2027</v>
      </c>
      <c r="N6">
        <v>2028</v>
      </c>
      <c r="O6">
        <v>2029</v>
      </c>
      <c r="P6">
        <v>2030</v>
      </c>
    </row>
    <row r="7" spans="1:16">
      <c r="A7" s="29" t="s">
        <v>278</v>
      </c>
      <c r="B7" s="270">
        <v>125000</v>
      </c>
      <c r="C7" s="112">
        <f>B7*0.025+B7</f>
        <v>128125</v>
      </c>
      <c r="D7" s="112">
        <f t="shared" ref="D7:P7" si="2">C7*0.025+C7</f>
        <v>131328.125</v>
      </c>
      <c r="E7" s="112">
        <f t="shared" si="2"/>
        <v>134611.328125</v>
      </c>
      <c r="F7" s="112">
        <f t="shared" si="2"/>
        <v>137976.611328125</v>
      </c>
      <c r="G7" s="112">
        <f t="shared" si="2"/>
        <v>141426.02661132812</v>
      </c>
      <c r="H7" s="112">
        <f t="shared" si="2"/>
        <v>144961.67727661133</v>
      </c>
      <c r="I7" s="112">
        <f t="shared" si="2"/>
        <v>148585.7192085266</v>
      </c>
      <c r="J7" s="112">
        <f t="shared" si="2"/>
        <v>152300.36218873976</v>
      </c>
      <c r="K7" s="112">
        <f t="shared" si="2"/>
        <v>156107.87124345824</v>
      </c>
      <c r="L7" s="112">
        <f t="shared" si="2"/>
        <v>160010.56802454469</v>
      </c>
      <c r="M7" s="112">
        <f t="shared" si="2"/>
        <v>164010.83222515832</v>
      </c>
      <c r="N7" s="112">
        <f t="shared" si="2"/>
        <v>168111.10303078729</v>
      </c>
      <c r="O7" s="112">
        <f t="shared" si="2"/>
        <v>172313.88060655698</v>
      </c>
      <c r="P7" s="112">
        <f t="shared" si="2"/>
        <v>176621.7276217209</v>
      </c>
    </row>
    <row r="8" spans="1:16">
      <c r="A8" s="29" t="s">
        <v>279</v>
      </c>
    </row>
    <row r="9" spans="1:16">
      <c r="A9" t="s">
        <v>280</v>
      </c>
      <c r="B9" s="271">
        <v>500</v>
      </c>
      <c r="C9" s="271">
        <v>500</v>
      </c>
      <c r="D9" s="271">
        <v>500</v>
      </c>
      <c r="E9" s="271">
        <v>500</v>
      </c>
      <c r="F9" s="271">
        <v>500</v>
      </c>
      <c r="G9" s="271">
        <v>500</v>
      </c>
      <c r="H9" s="271">
        <v>500</v>
      </c>
      <c r="I9" s="271">
        <v>500</v>
      </c>
      <c r="J9" s="271">
        <v>500</v>
      </c>
      <c r="K9" s="271">
        <v>500</v>
      </c>
      <c r="L9" s="271">
        <v>500</v>
      </c>
      <c r="M9" s="271">
        <v>500</v>
      </c>
      <c r="N9" s="271">
        <v>500</v>
      </c>
      <c r="O9" s="271">
        <v>500</v>
      </c>
      <c r="P9" s="271">
        <v>500</v>
      </c>
    </row>
    <row r="10" spans="1:16">
      <c r="A10" t="s">
        <v>281</v>
      </c>
      <c r="B10" s="271">
        <v>100</v>
      </c>
      <c r="C10" s="271">
        <v>100</v>
      </c>
      <c r="D10" s="271">
        <v>100</v>
      </c>
      <c r="E10" s="271">
        <v>100</v>
      </c>
      <c r="F10" s="271">
        <v>100</v>
      </c>
      <c r="G10" s="271">
        <v>100</v>
      </c>
      <c r="H10" s="271">
        <v>100</v>
      </c>
      <c r="I10" s="271">
        <v>100</v>
      </c>
      <c r="J10" s="271">
        <v>100</v>
      </c>
      <c r="K10" s="271">
        <v>100</v>
      </c>
      <c r="L10" s="271">
        <v>100</v>
      </c>
      <c r="M10" s="271">
        <v>100</v>
      </c>
      <c r="N10" s="271">
        <v>100</v>
      </c>
      <c r="O10" s="271">
        <v>100</v>
      </c>
      <c r="P10" s="271">
        <v>100</v>
      </c>
    </row>
    <row r="11" spans="1:16">
      <c r="A11" t="s">
        <v>282</v>
      </c>
      <c r="B11" s="271">
        <v>80</v>
      </c>
      <c r="C11" s="271">
        <v>80</v>
      </c>
      <c r="D11" s="271">
        <v>80</v>
      </c>
      <c r="E11" s="271">
        <v>80</v>
      </c>
      <c r="F11" s="271">
        <v>80</v>
      </c>
      <c r="G11" s="271">
        <v>80</v>
      </c>
      <c r="H11" s="271">
        <v>80</v>
      </c>
      <c r="I11" s="271">
        <v>80</v>
      </c>
      <c r="J11" s="271">
        <v>80</v>
      </c>
      <c r="K11" s="271">
        <v>80</v>
      </c>
      <c r="L11" s="271">
        <v>80</v>
      </c>
      <c r="M11" s="271">
        <v>80</v>
      </c>
      <c r="N11" s="271">
        <v>80</v>
      </c>
      <c r="O11" s="271">
        <v>80</v>
      </c>
      <c r="P11" s="271">
        <v>80</v>
      </c>
    </row>
    <row r="13" spans="1:16">
      <c r="A13" s="29" t="s">
        <v>283</v>
      </c>
    </row>
    <row r="14" spans="1:16">
      <c r="A14" t="s">
        <v>280</v>
      </c>
      <c r="B14" s="271">
        <f>B7*B9</f>
        <v>62500000</v>
      </c>
      <c r="C14" s="271">
        <f t="shared" ref="C14:O14" si="3">C7*C9</f>
        <v>64062500</v>
      </c>
      <c r="D14" s="271">
        <f t="shared" si="3"/>
        <v>65664062.5</v>
      </c>
      <c r="E14" s="271">
        <f t="shared" si="3"/>
        <v>67305664.0625</v>
      </c>
      <c r="F14" s="271">
        <f t="shared" si="3"/>
        <v>68988305.6640625</v>
      </c>
      <c r="G14" s="271">
        <f t="shared" si="3"/>
        <v>70713013.305664062</v>
      </c>
      <c r="H14" s="271">
        <f t="shared" si="3"/>
        <v>72480838.638305664</v>
      </c>
      <c r="I14" s="271">
        <f t="shared" si="3"/>
        <v>74292859.604263306</v>
      </c>
      <c r="J14" s="271">
        <f t="shared" si="3"/>
        <v>76150181.094369873</v>
      </c>
      <c r="K14" s="271">
        <f t="shared" si="3"/>
        <v>78053935.621729121</v>
      </c>
      <c r="L14" s="271">
        <f t="shared" si="3"/>
        <v>80005284.012272343</v>
      </c>
      <c r="M14" s="271">
        <f t="shared" si="3"/>
        <v>82005416.112579152</v>
      </c>
      <c r="N14" s="271">
        <f t="shared" si="3"/>
        <v>84055551.515393645</v>
      </c>
      <c r="O14" s="271">
        <f t="shared" si="3"/>
        <v>86156940.303278491</v>
      </c>
      <c r="P14" s="271">
        <f>P7*P9</f>
        <v>88310863.810860455</v>
      </c>
    </row>
    <row r="15" spans="1:16">
      <c r="A15" t="s">
        <v>281</v>
      </c>
      <c r="B15" s="271">
        <f>B10*B7</f>
        <v>12500000</v>
      </c>
      <c r="C15" s="271">
        <f t="shared" ref="C15:O15" si="4">C10*C7</f>
        <v>12812500</v>
      </c>
      <c r="D15" s="271">
        <f t="shared" si="4"/>
        <v>13132812.5</v>
      </c>
      <c r="E15" s="271">
        <f t="shared" si="4"/>
        <v>13461132.8125</v>
      </c>
      <c r="F15" s="271">
        <f t="shared" si="4"/>
        <v>13797661.1328125</v>
      </c>
      <c r="G15" s="271">
        <f t="shared" si="4"/>
        <v>14142602.661132812</v>
      </c>
      <c r="H15" s="271">
        <f t="shared" si="4"/>
        <v>14496167.727661133</v>
      </c>
      <c r="I15" s="271">
        <f t="shared" si="4"/>
        <v>14858571.920852659</v>
      </c>
      <c r="J15" s="271">
        <f t="shared" si="4"/>
        <v>15230036.218873976</v>
      </c>
      <c r="K15" s="271">
        <f t="shared" si="4"/>
        <v>15610787.124345824</v>
      </c>
      <c r="L15" s="271">
        <f t="shared" si="4"/>
        <v>16001056.802454468</v>
      </c>
      <c r="M15" s="271">
        <f t="shared" si="4"/>
        <v>16401083.222515831</v>
      </c>
      <c r="N15" s="271">
        <f t="shared" si="4"/>
        <v>16811110.30307873</v>
      </c>
      <c r="O15" s="271">
        <f t="shared" si="4"/>
        <v>17231388.060655698</v>
      </c>
      <c r="P15" s="271">
        <f>P10*P7</f>
        <v>17662172.762172092</v>
      </c>
    </row>
    <row r="16" spans="1:16">
      <c r="A16" t="s">
        <v>282</v>
      </c>
      <c r="B16" s="271">
        <f>B11*B7</f>
        <v>10000000</v>
      </c>
      <c r="C16" s="271">
        <f t="shared" ref="C16:O16" si="5">C11*C7</f>
        <v>10250000</v>
      </c>
      <c r="D16" s="271">
        <f t="shared" si="5"/>
        <v>10506250</v>
      </c>
      <c r="E16" s="271">
        <f t="shared" si="5"/>
        <v>10768906.25</v>
      </c>
      <c r="F16" s="271">
        <f t="shared" si="5"/>
        <v>11038128.90625</v>
      </c>
      <c r="G16" s="271">
        <f t="shared" si="5"/>
        <v>11314082.12890625</v>
      </c>
      <c r="H16" s="271">
        <f t="shared" si="5"/>
        <v>11596934.182128906</v>
      </c>
      <c r="I16" s="271">
        <f t="shared" si="5"/>
        <v>11886857.536682129</v>
      </c>
      <c r="J16" s="271">
        <f t="shared" si="5"/>
        <v>12184028.97509918</v>
      </c>
      <c r="K16" s="271">
        <f t="shared" si="5"/>
        <v>12488629.699476659</v>
      </c>
      <c r="L16" s="271">
        <f t="shared" si="5"/>
        <v>12800845.441963576</v>
      </c>
      <c r="M16" s="271">
        <f t="shared" si="5"/>
        <v>13120866.578012666</v>
      </c>
      <c r="N16" s="271">
        <f t="shared" si="5"/>
        <v>13448888.242462983</v>
      </c>
      <c r="O16" s="271">
        <f t="shared" si="5"/>
        <v>13785110.448524559</v>
      </c>
      <c r="P16" s="271">
        <f>P11*P7</f>
        <v>14129738.209737672</v>
      </c>
    </row>
  </sheetData>
  <sheetProtection password="CC29" sheet="1" objects="1" scenarios="1" selectLockedCells="1" selectUnlockedCells="1"/>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3:S13"/>
  <sheetViews>
    <sheetView workbookViewId="0">
      <selection activeCell="E9" sqref="E9"/>
    </sheetView>
  </sheetViews>
  <sheetFormatPr defaultRowHeight="15"/>
  <cols>
    <col min="1" max="2" width="9.140625" style="43"/>
    <col min="3" max="3" width="15.85546875" style="43" customWidth="1"/>
    <col min="4" max="19" width="8.7109375" style="43" customWidth="1"/>
    <col min="20" max="258" width="9.140625" style="43"/>
    <col min="259" max="259" width="15.85546875" style="43" customWidth="1"/>
    <col min="260" max="275" width="8.7109375" style="43" customWidth="1"/>
    <col min="276" max="514" width="9.140625" style="43"/>
    <col min="515" max="515" width="15.85546875" style="43" customWidth="1"/>
    <col min="516" max="531" width="8.7109375" style="43" customWidth="1"/>
    <col min="532" max="770" width="9.140625" style="43"/>
    <col min="771" max="771" width="15.85546875" style="43" customWidth="1"/>
    <col min="772" max="787" width="8.7109375" style="43" customWidth="1"/>
    <col min="788" max="1026" width="9.140625" style="43"/>
    <col min="1027" max="1027" width="15.85546875" style="43" customWidth="1"/>
    <col min="1028" max="1043" width="8.7109375" style="43" customWidth="1"/>
    <col min="1044" max="1282" width="9.140625" style="43"/>
    <col min="1283" max="1283" width="15.85546875" style="43" customWidth="1"/>
    <col min="1284" max="1299" width="8.7109375" style="43" customWidth="1"/>
    <col min="1300" max="1538" width="9.140625" style="43"/>
    <col min="1539" max="1539" width="15.85546875" style="43" customWidth="1"/>
    <col min="1540" max="1555" width="8.7109375" style="43" customWidth="1"/>
    <col min="1556" max="1794" width="9.140625" style="43"/>
    <col min="1795" max="1795" width="15.85546875" style="43" customWidth="1"/>
    <col min="1796" max="1811" width="8.7109375" style="43" customWidth="1"/>
    <col min="1812" max="2050" width="9.140625" style="43"/>
    <col min="2051" max="2051" width="15.85546875" style="43" customWidth="1"/>
    <col min="2052" max="2067" width="8.7109375" style="43" customWidth="1"/>
    <col min="2068" max="2306" width="9.140625" style="43"/>
    <col min="2307" max="2307" width="15.85546875" style="43" customWidth="1"/>
    <col min="2308" max="2323" width="8.7109375" style="43" customWidth="1"/>
    <col min="2324" max="2562" width="9.140625" style="43"/>
    <col min="2563" max="2563" width="15.85546875" style="43" customWidth="1"/>
    <col min="2564" max="2579" width="8.7109375" style="43" customWidth="1"/>
    <col min="2580" max="2818" width="9.140625" style="43"/>
    <col min="2819" max="2819" width="15.85546875" style="43" customWidth="1"/>
    <col min="2820" max="2835" width="8.7109375" style="43" customWidth="1"/>
    <col min="2836" max="3074" width="9.140625" style="43"/>
    <col min="3075" max="3075" width="15.85546875" style="43" customWidth="1"/>
    <col min="3076" max="3091" width="8.7109375" style="43" customWidth="1"/>
    <col min="3092" max="3330" width="9.140625" style="43"/>
    <col min="3331" max="3331" width="15.85546875" style="43" customWidth="1"/>
    <col min="3332" max="3347" width="8.7109375" style="43" customWidth="1"/>
    <col min="3348" max="3586" width="9.140625" style="43"/>
    <col min="3587" max="3587" width="15.85546875" style="43" customWidth="1"/>
    <col min="3588" max="3603" width="8.7109375" style="43" customWidth="1"/>
    <col min="3604" max="3842" width="9.140625" style="43"/>
    <col min="3843" max="3843" width="15.85546875" style="43" customWidth="1"/>
    <col min="3844" max="3859" width="8.7109375" style="43" customWidth="1"/>
    <col min="3860" max="4098" width="9.140625" style="43"/>
    <col min="4099" max="4099" width="15.85546875" style="43" customWidth="1"/>
    <col min="4100" max="4115" width="8.7109375" style="43" customWidth="1"/>
    <col min="4116" max="4354" width="9.140625" style="43"/>
    <col min="4355" max="4355" width="15.85546875" style="43" customWidth="1"/>
    <col min="4356" max="4371" width="8.7109375" style="43" customWidth="1"/>
    <col min="4372" max="4610" width="9.140625" style="43"/>
    <col min="4611" max="4611" width="15.85546875" style="43" customWidth="1"/>
    <col min="4612" max="4627" width="8.7109375" style="43" customWidth="1"/>
    <col min="4628" max="4866" width="9.140625" style="43"/>
    <col min="4867" max="4867" width="15.85546875" style="43" customWidth="1"/>
    <col min="4868" max="4883" width="8.7109375" style="43" customWidth="1"/>
    <col min="4884" max="5122" width="9.140625" style="43"/>
    <col min="5123" max="5123" width="15.85546875" style="43" customWidth="1"/>
    <col min="5124" max="5139" width="8.7109375" style="43" customWidth="1"/>
    <col min="5140" max="5378" width="9.140625" style="43"/>
    <col min="5379" max="5379" width="15.85546875" style="43" customWidth="1"/>
    <col min="5380" max="5395" width="8.7109375" style="43" customWidth="1"/>
    <col min="5396" max="5634" width="9.140625" style="43"/>
    <col min="5635" max="5635" width="15.85546875" style="43" customWidth="1"/>
    <col min="5636" max="5651" width="8.7109375" style="43" customWidth="1"/>
    <col min="5652" max="5890" width="9.140625" style="43"/>
    <col min="5891" max="5891" width="15.85546875" style="43" customWidth="1"/>
    <col min="5892" max="5907" width="8.7109375" style="43" customWidth="1"/>
    <col min="5908" max="6146" width="9.140625" style="43"/>
    <col min="6147" max="6147" width="15.85546875" style="43" customWidth="1"/>
    <col min="6148" max="6163" width="8.7109375" style="43" customWidth="1"/>
    <col min="6164" max="6402" width="9.140625" style="43"/>
    <col min="6403" max="6403" width="15.85546875" style="43" customWidth="1"/>
    <col min="6404" max="6419" width="8.7109375" style="43" customWidth="1"/>
    <col min="6420" max="6658" width="9.140625" style="43"/>
    <col min="6659" max="6659" width="15.85546875" style="43" customWidth="1"/>
    <col min="6660" max="6675" width="8.7109375" style="43" customWidth="1"/>
    <col min="6676" max="6914" width="9.140625" style="43"/>
    <col min="6915" max="6915" width="15.85546875" style="43" customWidth="1"/>
    <col min="6916" max="6931" width="8.7109375" style="43" customWidth="1"/>
    <col min="6932" max="7170" width="9.140625" style="43"/>
    <col min="7171" max="7171" width="15.85546875" style="43" customWidth="1"/>
    <col min="7172" max="7187" width="8.7109375" style="43" customWidth="1"/>
    <col min="7188" max="7426" width="9.140625" style="43"/>
    <col min="7427" max="7427" width="15.85546875" style="43" customWidth="1"/>
    <col min="7428" max="7443" width="8.7109375" style="43" customWidth="1"/>
    <col min="7444" max="7682" width="9.140625" style="43"/>
    <col min="7683" max="7683" width="15.85546875" style="43" customWidth="1"/>
    <col min="7684" max="7699" width="8.7109375" style="43" customWidth="1"/>
    <col min="7700" max="7938" width="9.140625" style="43"/>
    <col min="7939" max="7939" width="15.85546875" style="43" customWidth="1"/>
    <col min="7940" max="7955" width="8.7109375" style="43" customWidth="1"/>
    <col min="7956" max="8194" width="9.140625" style="43"/>
    <col min="8195" max="8195" width="15.85546875" style="43" customWidth="1"/>
    <col min="8196" max="8211" width="8.7109375" style="43" customWidth="1"/>
    <col min="8212" max="8450" width="9.140625" style="43"/>
    <col min="8451" max="8451" width="15.85546875" style="43" customWidth="1"/>
    <col min="8452" max="8467" width="8.7109375" style="43" customWidth="1"/>
    <col min="8468" max="8706" width="9.140625" style="43"/>
    <col min="8707" max="8707" width="15.85546875" style="43" customWidth="1"/>
    <col min="8708" max="8723" width="8.7109375" style="43" customWidth="1"/>
    <col min="8724" max="8962" width="9.140625" style="43"/>
    <col min="8963" max="8963" width="15.85546875" style="43" customWidth="1"/>
    <col min="8964" max="8979" width="8.7109375" style="43" customWidth="1"/>
    <col min="8980" max="9218" width="9.140625" style="43"/>
    <col min="9219" max="9219" width="15.85546875" style="43" customWidth="1"/>
    <col min="9220" max="9235" width="8.7109375" style="43" customWidth="1"/>
    <col min="9236" max="9474" width="9.140625" style="43"/>
    <col min="9475" max="9475" width="15.85546875" style="43" customWidth="1"/>
    <col min="9476" max="9491" width="8.7109375" style="43" customWidth="1"/>
    <col min="9492" max="9730" width="9.140625" style="43"/>
    <col min="9731" max="9731" width="15.85546875" style="43" customWidth="1"/>
    <col min="9732" max="9747" width="8.7109375" style="43" customWidth="1"/>
    <col min="9748" max="9986" width="9.140625" style="43"/>
    <col min="9987" max="9987" width="15.85546875" style="43" customWidth="1"/>
    <col min="9988" max="10003" width="8.7109375" style="43" customWidth="1"/>
    <col min="10004" max="10242" width="9.140625" style="43"/>
    <col min="10243" max="10243" width="15.85546875" style="43" customWidth="1"/>
    <col min="10244" max="10259" width="8.7109375" style="43" customWidth="1"/>
    <col min="10260" max="10498" width="9.140625" style="43"/>
    <col min="10499" max="10499" width="15.85546875" style="43" customWidth="1"/>
    <col min="10500" max="10515" width="8.7109375" style="43" customWidth="1"/>
    <col min="10516" max="10754" width="9.140625" style="43"/>
    <col min="10755" max="10755" width="15.85546875" style="43" customWidth="1"/>
    <col min="10756" max="10771" width="8.7109375" style="43" customWidth="1"/>
    <col min="10772" max="11010" width="9.140625" style="43"/>
    <col min="11011" max="11011" width="15.85546875" style="43" customWidth="1"/>
    <col min="11012" max="11027" width="8.7109375" style="43" customWidth="1"/>
    <col min="11028" max="11266" width="9.140625" style="43"/>
    <col min="11267" max="11267" width="15.85546875" style="43" customWidth="1"/>
    <col min="11268" max="11283" width="8.7109375" style="43" customWidth="1"/>
    <col min="11284" max="11522" width="9.140625" style="43"/>
    <col min="11523" max="11523" width="15.85546875" style="43" customWidth="1"/>
    <col min="11524" max="11539" width="8.7109375" style="43" customWidth="1"/>
    <col min="11540" max="11778" width="9.140625" style="43"/>
    <col min="11779" max="11779" width="15.85546875" style="43" customWidth="1"/>
    <col min="11780" max="11795" width="8.7109375" style="43" customWidth="1"/>
    <col min="11796" max="12034" width="9.140625" style="43"/>
    <col min="12035" max="12035" width="15.85546875" style="43" customWidth="1"/>
    <col min="12036" max="12051" width="8.7109375" style="43" customWidth="1"/>
    <col min="12052" max="12290" width="9.140625" style="43"/>
    <col min="12291" max="12291" width="15.85546875" style="43" customWidth="1"/>
    <col min="12292" max="12307" width="8.7109375" style="43" customWidth="1"/>
    <col min="12308" max="12546" width="9.140625" style="43"/>
    <col min="12547" max="12547" width="15.85546875" style="43" customWidth="1"/>
    <col min="12548" max="12563" width="8.7109375" style="43" customWidth="1"/>
    <col min="12564" max="12802" width="9.140625" style="43"/>
    <col min="12803" max="12803" width="15.85546875" style="43" customWidth="1"/>
    <col min="12804" max="12819" width="8.7109375" style="43" customWidth="1"/>
    <col min="12820" max="13058" width="9.140625" style="43"/>
    <col min="13059" max="13059" width="15.85546875" style="43" customWidth="1"/>
    <col min="13060" max="13075" width="8.7109375" style="43" customWidth="1"/>
    <col min="13076" max="13314" width="9.140625" style="43"/>
    <col min="13315" max="13315" width="15.85546875" style="43" customWidth="1"/>
    <col min="13316" max="13331" width="8.7109375" style="43" customWidth="1"/>
    <col min="13332" max="13570" width="9.140625" style="43"/>
    <col min="13571" max="13571" width="15.85546875" style="43" customWidth="1"/>
    <col min="13572" max="13587" width="8.7109375" style="43" customWidth="1"/>
    <col min="13588" max="13826" width="9.140625" style="43"/>
    <col min="13827" max="13827" width="15.85546875" style="43" customWidth="1"/>
    <col min="13828" max="13843" width="8.7109375" style="43" customWidth="1"/>
    <col min="13844" max="14082" width="9.140625" style="43"/>
    <col min="14083" max="14083" width="15.85546875" style="43" customWidth="1"/>
    <col min="14084" max="14099" width="8.7109375" style="43" customWidth="1"/>
    <col min="14100" max="14338" width="9.140625" style="43"/>
    <col min="14339" max="14339" width="15.85546875" style="43" customWidth="1"/>
    <col min="14340" max="14355" width="8.7109375" style="43" customWidth="1"/>
    <col min="14356" max="14594" width="9.140625" style="43"/>
    <col min="14595" max="14595" width="15.85546875" style="43" customWidth="1"/>
    <col min="14596" max="14611" width="8.7109375" style="43" customWidth="1"/>
    <col min="14612" max="14850" width="9.140625" style="43"/>
    <col min="14851" max="14851" width="15.85546875" style="43" customWidth="1"/>
    <col min="14852" max="14867" width="8.7109375" style="43" customWidth="1"/>
    <col min="14868" max="15106" width="9.140625" style="43"/>
    <col min="15107" max="15107" width="15.85546875" style="43" customWidth="1"/>
    <col min="15108" max="15123" width="8.7109375" style="43" customWidth="1"/>
    <col min="15124" max="15362" width="9.140625" style="43"/>
    <col min="15363" max="15363" width="15.85546875" style="43" customWidth="1"/>
    <col min="15364" max="15379" width="8.7109375" style="43" customWidth="1"/>
    <col min="15380" max="15618" width="9.140625" style="43"/>
    <col min="15619" max="15619" width="15.85546875" style="43" customWidth="1"/>
    <col min="15620" max="15635" width="8.7109375" style="43" customWidth="1"/>
    <col min="15636" max="15874" width="9.140625" style="43"/>
    <col min="15875" max="15875" width="15.85546875" style="43" customWidth="1"/>
    <col min="15876" max="15891" width="8.7109375" style="43" customWidth="1"/>
    <col min="15892" max="16130" width="9.140625" style="43"/>
    <col min="16131" max="16131" width="15.85546875" style="43" customWidth="1"/>
    <col min="16132" max="16147" width="8.7109375" style="43" customWidth="1"/>
    <col min="16148" max="16384" width="9.140625" style="43"/>
  </cols>
  <sheetData>
    <row r="3" spans="2:19">
      <c r="D3" s="43" t="str">
        <f t="shared" ref="D3:S3" si="0">D7</f>
        <v>FY16</v>
      </c>
      <c r="E3" s="43" t="str">
        <f t="shared" si="0"/>
        <v>FY17</v>
      </c>
      <c r="F3" s="43" t="str">
        <f t="shared" si="0"/>
        <v>FY18</v>
      </c>
      <c r="G3" s="43" t="str">
        <f t="shared" si="0"/>
        <v>FY19</v>
      </c>
      <c r="H3" s="43" t="str">
        <f t="shared" si="0"/>
        <v>FY20</v>
      </c>
      <c r="I3" s="43" t="str">
        <f t="shared" si="0"/>
        <v>FY21</v>
      </c>
      <c r="J3" s="43" t="str">
        <f t="shared" si="0"/>
        <v>FY22</v>
      </c>
      <c r="K3" s="43" t="str">
        <f t="shared" si="0"/>
        <v>FY23</v>
      </c>
      <c r="L3" s="43" t="str">
        <f t="shared" si="0"/>
        <v>FY24</v>
      </c>
      <c r="M3" s="43" t="str">
        <f t="shared" si="0"/>
        <v>FY25</v>
      </c>
      <c r="N3" s="43" t="str">
        <f t="shared" si="0"/>
        <v>FY26</v>
      </c>
      <c r="O3" s="43" t="str">
        <f t="shared" si="0"/>
        <v>FY27</v>
      </c>
      <c r="P3" s="43" t="str">
        <f t="shared" si="0"/>
        <v>FY28</v>
      </c>
      <c r="Q3" s="43" t="str">
        <f t="shared" si="0"/>
        <v>FY29</v>
      </c>
      <c r="R3" s="43" t="str">
        <f t="shared" si="0"/>
        <v>FY30</v>
      </c>
      <c r="S3" s="43" t="str">
        <f t="shared" si="0"/>
        <v>FY31</v>
      </c>
    </row>
    <row r="4" spans="2:19">
      <c r="B4" s="1136"/>
      <c r="C4" s="43" t="s">
        <v>157</v>
      </c>
      <c r="D4" s="1135">
        <f>VLOOKUP($C$4,$C$8:$S$10,MATCH(D3,$C$7:$S$7,0),FALSE)/1000</f>
        <v>57</v>
      </c>
      <c r="E4" s="1135">
        <f t="shared" ref="E4:S4" si="1">VLOOKUP($C$4,$C$8:$S$10,MATCH(E3,$C$7:$S$7,0),FALSE)/1000</f>
        <v>58.14</v>
      </c>
      <c r="F4" s="1135">
        <f t="shared" si="1"/>
        <v>59.302800000000005</v>
      </c>
      <c r="G4" s="1135">
        <f t="shared" si="1"/>
        <v>60.488856000000006</v>
      </c>
      <c r="H4" s="1135">
        <f t="shared" si="1"/>
        <v>61.698633120000004</v>
      </c>
      <c r="I4" s="1135">
        <f t="shared" si="1"/>
        <v>62.93260578240001</v>
      </c>
      <c r="J4" s="1135">
        <f t="shared" si="1"/>
        <v>64.191257898048008</v>
      </c>
      <c r="K4" s="1135">
        <f t="shared" si="1"/>
        <v>65.47508305600897</v>
      </c>
      <c r="L4" s="1135">
        <f t="shared" si="1"/>
        <v>66.78458471712915</v>
      </c>
      <c r="M4" s="1135">
        <f t="shared" si="1"/>
        <v>68.12027641147175</v>
      </c>
      <c r="N4" s="1135">
        <f t="shared" si="1"/>
        <v>69.48268193970118</v>
      </c>
      <c r="O4" s="1135">
        <f t="shared" si="1"/>
        <v>70.87233557849521</v>
      </c>
      <c r="P4" s="1135">
        <f t="shared" si="1"/>
        <v>72.289782290065119</v>
      </c>
      <c r="Q4" s="1135">
        <f t="shared" si="1"/>
        <v>73.735577935866431</v>
      </c>
      <c r="R4" s="1135">
        <f t="shared" si="1"/>
        <v>75.210289494583762</v>
      </c>
      <c r="S4" s="1135">
        <f t="shared" si="1"/>
        <v>76.714495284475447</v>
      </c>
    </row>
    <row r="7" spans="2:19" ht="45">
      <c r="B7" s="1137" t="s">
        <v>940</v>
      </c>
      <c r="C7" s="1134" t="s">
        <v>939</v>
      </c>
      <c r="D7" s="1133" t="s">
        <v>103</v>
      </c>
      <c r="E7" s="1133" t="s">
        <v>104</v>
      </c>
      <c r="F7" s="1133" t="s">
        <v>105</v>
      </c>
      <c r="G7" s="1133" t="s">
        <v>106</v>
      </c>
      <c r="H7" s="1133" t="s">
        <v>107</v>
      </c>
      <c r="I7" s="1133" t="s">
        <v>108</v>
      </c>
      <c r="J7" s="1133" t="s">
        <v>109</v>
      </c>
      <c r="K7" s="1133" t="s">
        <v>110</v>
      </c>
      <c r="L7" s="1133" t="s">
        <v>111</v>
      </c>
      <c r="M7" s="1133" t="s">
        <v>112</v>
      </c>
      <c r="N7" s="1133" t="s">
        <v>113</v>
      </c>
      <c r="O7" s="1133" t="s">
        <v>114</v>
      </c>
      <c r="P7" s="1133" t="s">
        <v>115</v>
      </c>
      <c r="Q7" s="1133" t="s">
        <v>116</v>
      </c>
      <c r="R7" s="1133" t="s">
        <v>117</v>
      </c>
      <c r="S7" s="1133" t="s">
        <v>118</v>
      </c>
    </row>
    <row r="8" spans="2:19">
      <c r="B8" s="1138">
        <v>0.03</v>
      </c>
      <c r="C8" s="1133" t="s">
        <v>158</v>
      </c>
      <c r="D8" s="1132">
        <v>57000</v>
      </c>
      <c r="E8" s="1132">
        <f t="shared" ref="E8:S8" si="2">D8*(1+$B8)</f>
        <v>58710</v>
      </c>
      <c r="F8" s="1132">
        <f t="shared" si="2"/>
        <v>60471.3</v>
      </c>
      <c r="G8" s="1132">
        <f t="shared" si="2"/>
        <v>62285.439000000006</v>
      </c>
      <c r="H8" s="1132">
        <f t="shared" si="2"/>
        <v>64154.002170000007</v>
      </c>
      <c r="I8" s="1132">
        <f t="shared" si="2"/>
        <v>66078.622235100003</v>
      </c>
      <c r="J8" s="1132">
        <f t="shared" si="2"/>
        <v>68060.980902153009</v>
      </c>
      <c r="K8" s="1132">
        <f t="shared" si="2"/>
        <v>70102.810329217595</v>
      </c>
      <c r="L8" s="1132">
        <f t="shared" si="2"/>
        <v>72205.894639094127</v>
      </c>
      <c r="M8" s="1132">
        <f t="shared" si="2"/>
        <v>74372.071478266953</v>
      </c>
      <c r="N8" s="1132">
        <f t="shared" si="2"/>
        <v>76603.233622614964</v>
      </c>
      <c r="O8" s="1132">
        <f t="shared" si="2"/>
        <v>78901.330631293415</v>
      </c>
      <c r="P8" s="1132">
        <f t="shared" si="2"/>
        <v>81268.370550232226</v>
      </c>
      <c r="Q8" s="1132">
        <f t="shared" si="2"/>
        <v>83706.421666739188</v>
      </c>
      <c r="R8" s="1132">
        <f t="shared" si="2"/>
        <v>86217.614316741368</v>
      </c>
      <c r="S8" s="1132">
        <f t="shared" si="2"/>
        <v>88804.142746243611</v>
      </c>
    </row>
    <row r="9" spans="2:19">
      <c r="B9" s="1138">
        <v>0.02</v>
      </c>
      <c r="C9" s="1133" t="s">
        <v>157</v>
      </c>
      <c r="D9" s="1132">
        <v>57000</v>
      </c>
      <c r="E9" s="1132">
        <f t="shared" ref="E9:S9" si="3">D9*(1+$B9)</f>
        <v>58140</v>
      </c>
      <c r="F9" s="1132">
        <f t="shared" si="3"/>
        <v>59302.8</v>
      </c>
      <c r="G9" s="1132">
        <f t="shared" si="3"/>
        <v>60488.856000000007</v>
      </c>
      <c r="H9" s="1132">
        <f t="shared" si="3"/>
        <v>61698.633120000006</v>
      </c>
      <c r="I9" s="1132">
        <f t="shared" si="3"/>
        <v>62932.605782400009</v>
      </c>
      <c r="J9" s="1132">
        <f t="shared" si="3"/>
        <v>64191.25789804801</v>
      </c>
      <c r="K9" s="1132">
        <f t="shared" si="3"/>
        <v>65475.083056008974</v>
      </c>
      <c r="L9" s="1132">
        <f t="shared" si="3"/>
        <v>66784.584717129153</v>
      </c>
      <c r="M9" s="1132">
        <f t="shared" si="3"/>
        <v>68120.276411471743</v>
      </c>
      <c r="N9" s="1132">
        <f t="shared" si="3"/>
        <v>69482.681939701186</v>
      </c>
      <c r="O9" s="1132">
        <f t="shared" si="3"/>
        <v>70872.335578495215</v>
      </c>
      <c r="P9" s="1132">
        <f t="shared" si="3"/>
        <v>72289.782290065123</v>
      </c>
      <c r="Q9" s="1132">
        <f t="shared" si="3"/>
        <v>73735.577935866429</v>
      </c>
      <c r="R9" s="1132">
        <f t="shared" si="3"/>
        <v>75210.289494583762</v>
      </c>
      <c r="S9" s="1132">
        <f t="shared" si="3"/>
        <v>76714.495284475444</v>
      </c>
    </row>
    <row r="10" spans="2:19">
      <c r="B10" s="1138">
        <v>0.01</v>
      </c>
      <c r="C10" s="1133" t="s">
        <v>159</v>
      </c>
      <c r="D10" s="1132">
        <v>57000</v>
      </c>
      <c r="E10" s="1132">
        <f t="shared" ref="E10:S10" si="4">D10*(1+$B10)</f>
        <v>57570</v>
      </c>
      <c r="F10" s="1132">
        <f t="shared" si="4"/>
        <v>58145.7</v>
      </c>
      <c r="G10" s="1132">
        <f t="shared" si="4"/>
        <v>58727.156999999999</v>
      </c>
      <c r="H10" s="1132">
        <f t="shared" si="4"/>
        <v>59314.428569999996</v>
      </c>
      <c r="I10" s="1132">
        <f t="shared" si="4"/>
        <v>59907.572855699997</v>
      </c>
      <c r="J10" s="1132">
        <f t="shared" si="4"/>
        <v>60506.648584256996</v>
      </c>
      <c r="K10" s="1132">
        <f t="shared" si="4"/>
        <v>61111.71507009957</v>
      </c>
      <c r="L10" s="1132">
        <f t="shared" si="4"/>
        <v>61722.832220800563</v>
      </c>
      <c r="M10" s="1132">
        <f t="shared" si="4"/>
        <v>62340.060543008571</v>
      </c>
      <c r="N10" s="1132">
        <f t="shared" si="4"/>
        <v>62963.461148438655</v>
      </c>
      <c r="O10" s="1132">
        <f t="shared" si="4"/>
        <v>63593.095759923039</v>
      </c>
      <c r="P10" s="1132">
        <f t="shared" si="4"/>
        <v>64229.026717522269</v>
      </c>
      <c r="Q10" s="1132">
        <f t="shared" si="4"/>
        <v>64871.316984697492</v>
      </c>
      <c r="R10" s="1132">
        <f t="shared" si="4"/>
        <v>65520.030154544467</v>
      </c>
      <c r="S10" s="1132">
        <f t="shared" si="4"/>
        <v>66175.230456089907</v>
      </c>
    </row>
    <row r="13" spans="2:19" ht="110.25" customHeight="1">
      <c r="C13" s="1175" t="s">
        <v>938</v>
      </c>
      <c r="D13" s="1176"/>
      <c r="E13" s="1176"/>
      <c r="F13" s="1176"/>
      <c r="G13" s="1176"/>
      <c r="H13" s="1176"/>
      <c r="I13" s="1176"/>
      <c r="J13" s="1176"/>
      <c r="K13" s="1176"/>
      <c r="L13" s="1176"/>
      <c r="M13" s="1176"/>
      <c r="N13" s="1176"/>
      <c r="O13" s="1176"/>
      <c r="P13" s="1176"/>
      <c r="Q13" s="1176"/>
      <c r="R13" s="1176"/>
      <c r="S13" s="1176"/>
    </row>
  </sheetData>
  <sheetProtection password="CC29" sheet="1" objects="1" scenarios="1" selectLockedCells="1" selectUnlockedCells="1"/>
  <mergeCells count="1">
    <mergeCell ref="C13:S13"/>
  </mergeCells>
  <dataValidations count="1">
    <dataValidation type="list" allowBlank="1" showInputMessage="1" showErrorMessage="1" sqref="C4">
      <formula1>$C$8:$C$10</formula1>
    </dataValidation>
  </dataValidations>
  <pageMargins left="0.7" right="0.7" top="0.75" bottom="0.75" header="0.3" footer="0.3"/>
  <pageSetup scale="78"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Z265"/>
  <sheetViews>
    <sheetView zoomScale="85" zoomScaleNormal="85" workbookViewId="0">
      <pane ySplit="1" topLeftCell="A2" activePane="bottomLeft" state="frozen"/>
      <selection activeCell="B6" sqref="B6:S6"/>
      <selection pane="bottomLeft" activeCell="A20" sqref="A20"/>
    </sheetView>
  </sheetViews>
  <sheetFormatPr defaultRowHeight="15"/>
  <cols>
    <col min="1" max="1" width="8.140625" style="1085" customWidth="1"/>
    <col min="2" max="2" width="9.7109375" bestFit="1" customWidth="1"/>
    <col min="3" max="3" width="50.85546875" customWidth="1"/>
    <col min="4" max="4" width="12.42578125" bestFit="1" customWidth="1"/>
    <col min="5" max="5" width="13.7109375" bestFit="1" customWidth="1"/>
    <col min="6" max="19" width="12" bestFit="1" customWidth="1"/>
    <col min="20" max="20" width="11" bestFit="1" customWidth="1"/>
    <col min="21" max="21" width="9.5703125" customWidth="1"/>
    <col min="23" max="23" width="9.140625" customWidth="1"/>
    <col min="24" max="24" width="15.5703125" customWidth="1"/>
    <col min="25" max="27" width="9.140625" customWidth="1"/>
  </cols>
  <sheetData>
    <row r="1" spans="1:26">
      <c r="D1">
        <v>2014</v>
      </c>
      <c r="E1">
        <v>2015</v>
      </c>
      <c r="F1">
        <v>2016</v>
      </c>
      <c r="G1">
        <v>2017</v>
      </c>
      <c r="H1">
        <v>2018</v>
      </c>
      <c r="I1">
        <v>2019</v>
      </c>
      <c r="J1">
        <v>2020</v>
      </c>
      <c r="K1">
        <v>2021</v>
      </c>
      <c r="L1">
        <v>2022</v>
      </c>
      <c r="M1">
        <v>2023</v>
      </c>
      <c r="N1">
        <v>2024</v>
      </c>
      <c r="O1">
        <v>2025</v>
      </c>
      <c r="P1">
        <v>2026</v>
      </c>
      <c r="Q1">
        <v>2027</v>
      </c>
      <c r="R1">
        <v>2028</v>
      </c>
      <c r="S1">
        <v>2029</v>
      </c>
      <c r="T1">
        <v>2030</v>
      </c>
    </row>
    <row r="2" spans="1:26" ht="21">
      <c r="B2" s="1177" t="s">
        <v>28</v>
      </c>
      <c r="C2" s="1177"/>
      <c r="D2" s="1177"/>
      <c r="E2" s="1177"/>
      <c r="F2" s="1177"/>
      <c r="G2" s="1177"/>
      <c r="H2" s="1177"/>
      <c r="I2" s="1177"/>
      <c r="J2" s="1177"/>
      <c r="K2" s="1177"/>
      <c r="L2" s="1177"/>
      <c r="M2" s="1177"/>
      <c r="N2" s="1177"/>
      <c r="O2" s="1177"/>
      <c r="P2" s="1177"/>
      <c r="Q2" s="1177"/>
      <c r="R2" s="1177"/>
      <c r="S2" s="1177"/>
      <c r="T2" s="1177"/>
    </row>
    <row r="3" spans="1:26" ht="15.75">
      <c r="A3" s="1086"/>
      <c r="B3" s="1178" t="s">
        <v>30</v>
      </c>
      <c r="C3" s="1178"/>
      <c r="D3" s="1178"/>
      <c r="E3" s="1178"/>
      <c r="F3" s="1178"/>
      <c r="G3" s="1178"/>
      <c r="H3" s="1178"/>
      <c r="I3" s="1178"/>
      <c r="J3" s="1178"/>
      <c r="K3" s="1178"/>
      <c r="L3" s="1178"/>
      <c r="M3" s="1178"/>
      <c r="N3" s="1178"/>
      <c r="O3" s="1178"/>
      <c r="P3" s="1178"/>
      <c r="Q3" s="1178"/>
      <c r="R3" s="1178"/>
      <c r="S3" s="1178"/>
      <c r="T3" s="1178"/>
    </row>
    <row r="4" spans="1:26" ht="15.75">
      <c r="A4" s="1086"/>
      <c r="B4" s="1178" t="s">
        <v>373</v>
      </c>
      <c r="C4" s="1178"/>
      <c r="D4" s="1178"/>
      <c r="E4" s="1178"/>
      <c r="F4" s="1178"/>
      <c r="G4" s="1178"/>
      <c r="H4" s="1178"/>
      <c r="I4" s="1178"/>
      <c r="J4" s="1178"/>
      <c r="K4" s="1178"/>
      <c r="L4" s="1178"/>
      <c r="M4" s="1178"/>
      <c r="N4" s="1178"/>
      <c r="O4" s="1178"/>
      <c r="P4" s="1178"/>
      <c r="Q4" s="1178"/>
      <c r="R4" s="1178"/>
      <c r="S4" s="1178"/>
      <c r="T4" s="1178"/>
    </row>
    <row r="5" spans="1:26" ht="15.75">
      <c r="B5" s="1179" t="s">
        <v>390</v>
      </c>
      <c r="C5" s="1180"/>
      <c r="D5" s="1180"/>
      <c r="E5" s="1180"/>
      <c r="F5" s="1180"/>
      <c r="G5" s="1180"/>
      <c r="H5" s="1180"/>
      <c r="I5" s="1180"/>
      <c r="J5" s="1180"/>
      <c r="K5" s="1180"/>
      <c r="L5" s="1180"/>
      <c r="M5" s="1180"/>
      <c r="N5" s="1180"/>
      <c r="O5" s="1180"/>
      <c r="P5" s="1180"/>
      <c r="Q5" s="1180"/>
      <c r="R5" s="1180"/>
      <c r="S5" s="1180"/>
      <c r="T5" s="1180"/>
    </row>
    <row r="6" spans="1:26">
      <c r="X6" t="s">
        <v>19</v>
      </c>
      <c r="Y6" t="s">
        <v>23</v>
      </c>
      <c r="Z6" t="s">
        <v>24</v>
      </c>
    </row>
    <row r="7" spans="1:26">
      <c r="C7" s="30" t="s">
        <v>378</v>
      </c>
      <c r="D7" s="31" t="s">
        <v>0</v>
      </c>
      <c r="E7" s="31" t="s">
        <v>1</v>
      </c>
      <c r="F7" s="31" t="s">
        <v>2</v>
      </c>
      <c r="G7" s="31" t="s">
        <v>3</v>
      </c>
      <c r="H7" s="31" t="s">
        <v>4</v>
      </c>
      <c r="I7" s="31" t="s">
        <v>5</v>
      </c>
      <c r="J7" s="31" t="s">
        <v>6</v>
      </c>
      <c r="K7" s="31" t="s">
        <v>7</v>
      </c>
      <c r="L7" s="31" t="s">
        <v>8</v>
      </c>
      <c r="M7" s="31" t="s">
        <v>9</v>
      </c>
      <c r="N7" s="31" t="s">
        <v>21</v>
      </c>
      <c r="O7" s="31" t="s">
        <v>35</v>
      </c>
      <c r="P7" s="31" t="s">
        <v>36</v>
      </c>
      <c r="Q7" s="31" t="s">
        <v>37</v>
      </c>
      <c r="R7" s="31" t="s">
        <v>38</v>
      </c>
      <c r="S7" s="31" t="s">
        <v>39</v>
      </c>
      <c r="T7" s="31" t="s">
        <v>40</v>
      </c>
      <c r="W7" t="s">
        <v>13</v>
      </c>
      <c r="X7" s="11">
        <v>0</v>
      </c>
      <c r="Y7" s="11">
        <v>0.04</v>
      </c>
      <c r="Z7">
        <v>513.9</v>
      </c>
    </row>
    <row r="8" spans="1:26">
      <c r="C8" s="30" t="s">
        <v>50</v>
      </c>
      <c r="D8" s="153">
        <v>5689.7000000000007</v>
      </c>
      <c r="E8" s="153">
        <v>2375.6</v>
      </c>
      <c r="F8" s="153">
        <f>'FY 16-25 GFUR'!B2</f>
        <v>2311.4</v>
      </c>
      <c r="G8" s="153">
        <f>'FY 16-25 GFUR'!C2</f>
        <v>2371.4</v>
      </c>
      <c r="H8" s="153">
        <f>'FY 16-25 GFUR'!D2</f>
        <v>2346.4</v>
      </c>
      <c r="I8" s="153">
        <f>'FY 16-25 GFUR'!E2</f>
        <v>2263.6</v>
      </c>
      <c r="J8" s="153">
        <f>'FY 16-25 GFUR'!F2</f>
        <v>2197.3000000000002</v>
      </c>
      <c r="K8" s="153">
        <f>'FY 16-25 GFUR'!G2</f>
        <v>2124.6</v>
      </c>
      <c r="L8" s="153">
        <f>'FY 16-25 GFUR'!H2</f>
        <v>2043.3</v>
      </c>
      <c r="M8" s="153">
        <f>'FY 16-25 GFUR'!I2</f>
        <v>1979.3</v>
      </c>
      <c r="N8" s="153">
        <f>'FY 16-25 GFUR'!J2</f>
        <v>1903</v>
      </c>
      <c r="O8" s="153">
        <f>'FY 16-25 GFUR'!K2</f>
        <v>1827.3</v>
      </c>
      <c r="P8" s="153">
        <f>'FY 16-25 GFUR'!L2</f>
        <v>1749.2</v>
      </c>
      <c r="Q8" s="153">
        <f>'FY 16-25 GFUR'!M2</f>
        <v>1665.5</v>
      </c>
      <c r="R8" s="153">
        <f>'FY 16-25 GFUR'!N2</f>
        <v>1632</v>
      </c>
      <c r="S8" s="153">
        <f>'FY 16-25 GFUR'!O2</f>
        <v>1604</v>
      </c>
      <c r="T8" s="153">
        <f>'FY 16-25 GFUR'!P2</f>
        <v>1528.4</v>
      </c>
      <c r="W8" t="s">
        <v>14</v>
      </c>
      <c r="X8" s="11">
        <v>0.1</v>
      </c>
      <c r="Y8" s="11">
        <v>0.05</v>
      </c>
      <c r="Z8">
        <v>578.1</v>
      </c>
    </row>
    <row r="9" spans="1:26" ht="15.75" customHeight="1">
      <c r="D9" s="2"/>
      <c r="E9" s="2"/>
      <c r="F9" s="2"/>
      <c r="G9" s="2"/>
      <c r="H9" s="2"/>
      <c r="I9" s="2"/>
      <c r="J9" s="2"/>
      <c r="K9" s="2"/>
      <c r="L9" s="2"/>
      <c r="M9" s="2"/>
      <c r="N9" s="2"/>
      <c r="X9" s="11">
        <v>0.2</v>
      </c>
      <c r="Y9" s="11">
        <v>0.06</v>
      </c>
      <c r="Z9">
        <v>645.6</v>
      </c>
    </row>
    <row r="10" spans="1:26">
      <c r="C10" s="29" t="s">
        <v>17</v>
      </c>
      <c r="D10" s="2"/>
      <c r="E10" s="2"/>
      <c r="F10" s="2"/>
      <c r="G10" s="2"/>
      <c r="H10" s="2"/>
      <c r="I10" s="2"/>
      <c r="J10" s="2"/>
      <c r="K10" s="2"/>
      <c r="L10" s="2"/>
      <c r="M10" s="2"/>
      <c r="N10" s="2"/>
      <c r="X10" s="11">
        <v>0.25</v>
      </c>
      <c r="Y10" s="11">
        <v>7.0000000000000007E-2</v>
      </c>
      <c r="Z10">
        <v>716.1</v>
      </c>
    </row>
    <row r="11" spans="1:26" ht="7.5" customHeight="1">
      <c r="C11" s="29"/>
      <c r="D11" s="2"/>
      <c r="E11" s="2"/>
      <c r="F11" s="2"/>
      <c r="G11" s="2"/>
      <c r="H11" s="2"/>
      <c r="I11" s="2"/>
      <c r="J11" s="2"/>
      <c r="K11" s="2"/>
      <c r="L11" s="2"/>
      <c r="M11" s="2"/>
      <c r="N11" s="2"/>
      <c r="X11" s="11">
        <v>0.3</v>
      </c>
      <c r="Y11" s="11"/>
    </row>
    <row r="12" spans="1:26" ht="15.75" thickBot="1">
      <c r="C12" s="40" t="s">
        <v>41</v>
      </c>
      <c r="D12" s="2"/>
      <c r="E12" s="2"/>
      <c r="F12" s="2"/>
      <c r="G12" s="2"/>
      <c r="H12" s="2"/>
      <c r="I12" s="2"/>
      <c r="J12" s="2"/>
      <c r="K12" s="2"/>
      <c r="L12" s="2"/>
      <c r="M12" s="2"/>
      <c r="N12" s="2"/>
      <c r="X12" s="11">
        <v>0.4</v>
      </c>
      <c r="Y12" s="11"/>
    </row>
    <row r="13" spans="1:26" ht="15.75" thickBot="1">
      <c r="A13" s="1085" t="b">
        <v>0</v>
      </c>
      <c r="B13" s="13" t="str">
        <f>IF(A13=TRUE,"Yes","No")</f>
        <v>No</v>
      </c>
      <c r="C13" s="3" t="s">
        <v>20</v>
      </c>
      <c r="D13" s="7"/>
      <c r="E13" s="7"/>
      <c r="F13" s="12">
        <f>IF($B$13="Yes",5000*0.03/2,0)</f>
        <v>0</v>
      </c>
      <c r="G13" s="12">
        <f>IF($B$13="Yes",1.0225*5000*0.03,0)</f>
        <v>0</v>
      </c>
      <c r="H13" s="12">
        <f>IF($B$13="Yes",G13,0)</f>
        <v>0</v>
      </c>
      <c r="I13" s="12">
        <f>IF($B$13="Yes",H13,0)</f>
        <v>0</v>
      </c>
      <c r="J13" s="12">
        <f t="shared" ref="J13:T13" si="0">IF($B$13="Yes",I13,0)</f>
        <v>0</v>
      </c>
      <c r="K13" s="12">
        <f t="shared" si="0"/>
        <v>0</v>
      </c>
      <c r="L13" s="12">
        <f t="shared" si="0"/>
        <v>0</v>
      </c>
      <c r="M13" s="12">
        <f t="shared" si="0"/>
        <v>0</v>
      </c>
      <c r="N13" s="12">
        <f t="shared" si="0"/>
        <v>0</v>
      </c>
      <c r="O13" s="12">
        <f t="shared" si="0"/>
        <v>0</v>
      </c>
      <c r="P13" s="12">
        <f t="shared" si="0"/>
        <v>0</v>
      </c>
      <c r="Q13" s="12">
        <f t="shared" si="0"/>
        <v>0</v>
      </c>
      <c r="R13" s="12">
        <f t="shared" si="0"/>
        <v>0</v>
      </c>
      <c r="S13" s="12">
        <f t="shared" si="0"/>
        <v>0</v>
      </c>
      <c r="T13" s="12">
        <f t="shared" si="0"/>
        <v>0</v>
      </c>
      <c r="X13" s="11">
        <v>0.5</v>
      </c>
    </row>
    <row r="14" spans="1:26" ht="15.75" thickBot="1">
      <c r="C14" s="3" t="s">
        <v>42</v>
      </c>
      <c r="D14" s="7"/>
      <c r="E14" s="7"/>
      <c r="X14" s="11">
        <v>0.6</v>
      </c>
    </row>
    <row r="15" spans="1:26" ht="15.75" thickBot="1">
      <c r="A15" s="1085">
        <v>1</v>
      </c>
      <c r="B15" s="13" t="str">
        <f>IF(A15=1,"Yes","No")</f>
        <v>Yes</v>
      </c>
      <c r="C15" s="3" t="s">
        <v>382</v>
      </c>
      <c r="D15" s="7"/>
      <c r="E15" s="7"/>
      <c r="F15" s="2">
        <f t="shared" ref="F15:T15" si="1">IF(OR(AND($B$15="Yes",$B$22="Yes"),$B$15="No"), 0,F17)</f>
        <v>2674.93516765</v>
      </c>
      <c r="G15" s="2">
        <f t="shared" si="1"/>
        <v>2818.6942155621587</v>
      </c>
      <c r="H15" s="2">
        <f t="shared" si="1"/>
        <v>2960.4033554676589</v>
      </c>
      <c r="I15" s="2">
        <f t="shared" si="1"/>
        <v>3110.497004085712</v>
      </c>
      <c r="J15" s="2">
        <f t="shared" si="1"/>
        <v>3273.918873390227</v>
      </c>
      <c r="K15" s="2">
        <f t="shared" si="1"/>
        <v>3442.4776000540664</v>
      </c>
      <c r="L15" s="2">
        <f t="shared" si="1"/>
        <v>3615.754193783785</v>
      </c>
      <c r="M15" s="2">
        <f t="shared" si="1"/>
        <v>3794.5090346441766</v>
      </c>
      <c r="N15" s="2">
        <f t="shared" si="1"/>
        <v>3979.5271391535207</v>
      </c>
      <c r="O15" s="2">
        <f t="shared" si="1"/>
        <v>4170.2285591556383</v>
      </c>
      <c r="P15" s="2">
        <f t="shared" si="1"/>
        <v>4366.6223273632622</v>
      </c>
      <c r="Q15" s="2">
        <f t="shared" si="1"/>
        <v>4568.9246916381207</v>
      </c>
      <c r="R15" s="2">
        <f t="shared" si="1"/>
        <v>4777.4966241250422</v>
      </c>
      <c r="S15" s="2">
        <f t="shared" si="1"/>
        <v>4993.3145226607776</v>
      </c>
      <c r="T15" s="2">
        <f t="shared" si="1"/>
        <v>5216.8277105849975</v>
      </c>
      <c r="X15" s="11"/>
    </row>
    <row r="16" spans="1:26" ht="15.75" thickBot="1">
      <c r="A16" s="1085">
        <v>1</v>
      </c>
      <c r="B16" s="15">
        <f>INDEX(Graphs!B154:B174,'All Rev &amp; Projects'!A16)</f>
        <v>0</v>
      </c>
      <c r="C16" s="154" t="s">
        <v>214</v>
      </c>
      <c r="D16" s="7"/>
      <c r="E16" s="7"/>
      <c r="F16" s="2">
        <f>F15*$B$16</f>
        <v>0</v>
      </c>
      <c r="G16" s="2">
        <f t="shared" ref="G16:T16" si="2">G15*$B$16</f>
        <v>0</v>
      </c>
      <c r="H16" s="2">
        <f t="shared" si="2"/>
        <v>0</v>
      </c>
      <c r="I16" s="2">
        <f t="shared" si="2"/>
        <v>0</v>
      </c>
      <c r="J16" s="2">
        <f t="shared" si="2"/>
        <v>0</v>
      </c>
      <c r="K16" s="2">
        <f t="shared" si="2"/>
        <v>0</v>
      </c>
      <c r="L16" s="2">
        <f t="shared" si="2"/>
        <v>0</v>
      </c>
      <c r="M16" s="2">
        <f t="shared" si="2"/>
        <v>0</v>
      </c>
      <c r="N16" s="2">
        <f t="shared" si="2"/>
        <v>0</v>
      </c>
      <c r="O16" s="2">
        <f t="shared" si="2"/>
        <v>0</v>
      </c>
      <c r="P16" s="2">
        <f t="shared" si="2"/>
        <v>0</v>
      </c>
      <c r="Q16" s="2">
        <f t="shared" si="2"/>
        <v>0</v>
      </c>
      <c r="R16" s="2">
        <f t="shared" si="2"/>
        <v>0</v>
      </c>
      <c r="S16" s="2">
        <f t="shared" si="2"/>
        <v>0</v>
      </c>
      <c r="T16" s="2">
        <f t="shared" si="2"/>
        <v>0</v>
      </c>
      <c r="X16" s="11"/>
    </row>
    <row r="17" spans="1:25" ht="15.75" thickBot="1">
      <c r="C17" s="3"/>
      <c r="D17" s="7"/>
      <c r="E17" s="7"/>
      <c r="F17" s="156">
        <f>INDEX('Extended Forecast'!$W$22:$W$52,COLUMN('All Rev &amp; Projects'!A2))/(1-$B$16)</f>
        <v>2674.93516765</v>
      </c>
      <c r="G17" s="156">
        <f>INDEX('Extended Forecast'!$W$22:$W$52,COLUMN('All Rev &amp; Projects'!B2))/(1-$B$16)</f>
        <v>2818.6942155621587</v>
      </c>
      <c r="H17" s="156">
        <f>INDEX('Extended Forecast'!$W$22:$W$52,COLUMN('All Rev &amp; Projects'!C2))/(1-$B$16)</f>
        <v>2960.4033554676589</v>
      </c>
      <c r="I17" s="156">
        <f>INDEX('Extended Forecast'!$W$22:$W$52,COLUMN('All Rev &amp; Projects'!D2))/(1-$B$16)</f>
        <v>3110.497004085712</v>
      </c>
      <c r="J17" s="156">
        <f>INDEX('Extended Forecast'!$W$22:$W$52,COLUMN('All Rev &amp; Projects'!E2))/(1-$B$16)</f>
        <v>3273.918873390227</v>
      </c>
      <c r="K17" s="156">
        <f>INDEX('Extended Forecast'!$W$22:$W$52,COLUMN('All Rev &amp; Projects'!F2))/(1-$B$16)</f>
        <v>3442.4776000540664</v>
      </c>
      <c r="L17" s="156">
        <f>INDEX('Extended Forecast'!$W$22:$W$52,COLUMN('All Rev &amp; Projects'!G2))/(1-$B$16)</f>
        <v>3615.754193783785</v>
      </c>
      <c r="M17" s="156">
        <f>INDEX('Extended Forecast'!$W$22:$W$52,COLUMN('All Rev &amp; Projects'!H2))/(1-$B$16)</f>
        <v>3794.5090346441766</v>
      </c>
      <c r="N17" s="156">
        <f>INDEX('Extended Forecast'!$W$22:$W$52,COLUMN('All Rev &amp; Projects'!I2))/(1-$B$16)</f>
        <v>3979.5271391535207</v>
      </c>
      <c r="O17" s="156">
        <f>INDEX('Extended Forecast'!$W$22:$W$52,COLUMN('All Rev &amp; Projects'!J2))/(1-$B$16)</f>
        <v>4170.2285591556383</v>
      </c>
      <c r="P17" s="156">
        <f>INDEX('Extended Forecast'!$W$22:$W$52,COLUMN('All Rev &amp; Projects'!K2))/(1-$B$16)</f>
        <v>4366.6223273632622</v>
      </c>
      <c r="Q17" s="156">
        <f>INDEX('Extended Forecast'!$W$22:$W$52,COLUMN('All Rev &amp; Projects'!L2))/(1-$B$16)</f>
        <v>4568.9246916381207</v>
      </c>
      <c r="R17" s="156">
        <f>INDEX('Extended Forecast'!$W$22:$W$52,COLUMN('All Rev &amp; Projects'!M2))/(1-$B$16)</f>
        <v>4777.4966241250422</v>
      </c>
      <c r="S17" s="156">
        <f>INDEX('Extended Forecast'!$W$22:$W$52,COLUMN('All Rev &amp; Projects'!N2))/(1-$B$16)</f>
        <v>4993.3145226607776</v>
      </c>
      <c r="T17" s="156">
        <f>INDEX('Extended Forecast'!$W$22:$W$52,COLUMN('All Rev &amp; Projects'!O2))/(1-$B$16)</f>
        <v>5216.8277105849975</v>
      </c>
      <c r="X17" s="11"/>
    </row>
    <row r="18" spans="1:25" ht="15.75" thickBot="1">
      <c r="B18" s="13">
        <f>'PFD  Limits &amp; SB 114'!K6</f>
        <v>99999999</v>
      </c>
      <c r="C18" s="10" t="s">
        <v>742</v>
      </c>
      <c r="D18" s="7"/>
      <c r="E18" s="7"/>
      <c r="F18" s="2">
        <f>F19/1000000</f>
        <v>0</v>
      </c>
      <c r="G18" s="2">
        <f t="shared" ref="G18:T18" si="3">G19/1000000</f>
        <v>0</v>
      </c>
      <c r="H18" s="2">
        <f t="shared" si="3"/>
        <v>0</v>
      </c>
      <c r="I18" s="2">
        <f t="shared" si="3"/>
        <v>0</v>
      </c>
      <c r="J18" s="2">
        <f t="shared" si="3"/>
        <v>0</v>
      </c>
      <c r="K18" s="2">
        <f t="shared" si="3"/>
        <v>0</v>
      </c>
      <c r="L18" s="2">
        <f t="shared" si="3"/>
        <v>0</v>
      </c>
      <c r="M18" s="2">
        <f t="shared" si="3"/>
        <v>0</v>
      </c>
      <c r="N18" s="2">
        <f t="shared" si="3"/>
        <v>0</v>
      </c>
      <c r="O18" s="2">
        <f t="shared" si="3"/>
        <v>0</v>
      </c>
      <c r="P18" s="2">
        <f t="shared" si="3"/>
        <v>0</v>
      </c>
      <c r="Q18" s="2">
        <f t="shared" si="3"/>
        <v>0</v>
      </c>
      <c r="R18" s="2">
        <f t="shared" si="3"/>
        <v>0</v>
      </c>
      <c r="S18" s="2">
        <f t="shared" si="3"/>
        <v>0</v>
      </c>
      <c r="T18" s="2">
        <f t="shared" si="3"/>
        <v>0</v>
      </c>
      <c r="X18" s="11">
        <v>0.7</v>
      </c>
    </row>
    <row r="19" spans="1:25" ht="15.75" thickBot="1">
      <c r="C19" s="154"/>
      <c r="D19" s="7"/>
      <c r="E19" s="7"/>
      <c r="F19" s="949">
        <f>'PFD  Limits &amp; SB 114'!O23</f>
        <v>0</v>
      </c>
      <c r="G19" s="949">
        <f>'PFD  Limits &amp; SB 114'!O24</f>
        <v>0</v>
      </c>
      <c r="H19" s="949">
        <f>'PFD  Limits &amp; SB 114'!O25</f>
        <v>0</v>
      </c>
      <c r="I19" s="949">
        <f>'PFD  Limits &amp; SB 114'!O26</f>
        <v>0</v>
      </c>
      <c r="J19" s="949">
        <f>'PFD  Limits &amp; SB 114'!O27</f>
        <v>0</v>
      </c>
      <c r="K19" s="949">
        <f>'PFD  Limits &amp; SB 114'!O28</f>
        <v>0</v>
      </c>
      <c r="L19" s="949">
        <f>'PFD  Limits &amp; SB 114'!O29</f>
        <v>0</v>
      </c>
      <c r="M19" s="949">
        <f>'PFD  Limits &amp; SB 114'!O30</f>
        <v>0</v>
      </c>
      <c r="N19" s="949">
        <f>'PFD  Limits &amp; SB 114'!O31</f>
        <v>0</v>
      </c>
      <c r="O19" s="949">
        <f>'PFD  Limits &amp; SB 114'!O32</f>
        <v>0</v>
      </c>
      <c r="P19" s="949">
        <f>'PFD  Limits &amp; SB 114'!O33</f>
        <v>0</v>
      </c>
      <c r="Q19" s="949">
        <f>'PFD  Limits &amp; SB 114'!O34</f>
        <v>0</v>
      </c>
      <c r="R19" s="949">
        <f>'PFD  Limits &amp; SB 114'!O35</f>
        <v>0</v>
      </c>
      <c r="S19" s="949">
        <f>'PFD  Limits &amp; SB 114'!O36</f>
        <v>0</v>
      </c>
      <c r="T19" s="949">
        <f>'PFD  Limits &amp; SB 114'!O37</f>
        <v>0</v>
      </c>
      <c r="X19" s="11">
        <v>0.75</v>
      </c>
      <c r="Y19" s="11"/>
    </row>
    <row r="20" spans="1:25" ht="15.75" thickBot="1">
      <c r="A20" s="1085" t="b">
        <f>(A15=3)</f>
        <v>0</v>
      </c>
      <c r="B20" s="13" t="str">
        <f>IF(A20,"Yes","No")</f>
        <v>No</v>
      </c>
      <c r="C20" s="958" t="s">
        <v>752</v>
      </c>
      <c r="D20" s="7"/>
      <c r="E20" s="7"/>
      <c r="F20" s="957">
        <f>'PFD  Limits &amp; SB 114'!V15*N($A$20)</f>
        <v>0</v>
      </c>
      <c r="G20" s="957">
        <f>'PFD  Limits &amp; SB 114'!W15*N($A$20)</f>
        <v>0</v>
      </c>
      <c r="H20" s="957">
        <f>'PFD  Limits &amp; SB 114'!X15*N($A$20)</f>
        <v>0</v>
      </c>
      <c r="I20" s="957">
        <f>'PFD  Limits &amp; SB 114'!Y15*N($A$20)</f>
        <v>0</v>
      </c>
      <c r="J20" s="957">
        <f>'PFD  Limits &amp; SB 114'!Z15*N($A$20)</f>
        <v>0</v>
      </c>
      <c r="K20" s="957">
        <f>'PFD  Limits &amp; SB 114'!AA15*N($A$20)</f>
        <v>0</v>
      </c>
      <c r="L20" s="957">
        <f>'PFD  Limits &amp; SB 114'!AB15*N($A$20)</f>
        <v>0</v>
      </c>
      <c r="M20" s="957">
        <f>'PFD  Limits &amp; SB 114'!AC15*N($A$20)</f>
        <v>0</v>
      </c>
      <c r="N20" s="957">
        <f>'PFD  Limits &amp; SB 114'!AD15*N($A$20)</f>
        <v>0</v>
      </c>
      <c r="O20" s="957">
        <f>'PFD  Limits &amp; SB 114'!AE15*N($A$20)</f>
        <v>0</v>
      </c>
      <c r="P20" s="957">
        <f>'PFD  Limits &amp; SB 114'!AF15*N($A$20)</f>
        <v>0</v>
      </c>
      <c r="Q20" s="957">
        <f>'PFD  Limits &amp; SB 114'!AG15*N($A$20)</f>
        <v>0</v>
      </c>
      <c r="R20" s="957">
        <f>'PFD  Limits &amp; SB 114'!AH15*N($A$20)</f>
        <v>0</v>
      </c>
      <c r="S20" s="957">
        <f>'PFD  Limits &amp; SB 114'!AI15*N($A$20)</f>
        <v>0</v>
      </c>
      <c r="T20" s="957">
        <f>'PFD  Limits &amp; SB 114'!AJ15*N($A$20)</f>
        <v>0</v>
      </c>
      <c r="X20" s="11"/>
      <c r="Y20" s="11"/>
    </row>
    <row r="21" spans="1:25" ht="15.75" thickBot="1">
      <c r="C21" s="958"/>
      <c r="D21" s="7"/>
      <c r="E21" s="7"/>
      <c r="F21" s="959"/>
      <c r="G21" s="959"/>
      <c r="H21" s="959"/>
      <c r="I21" s="959"/>
      <c r="J21" s="959"/>
      <c r="K21" s="959"/>
      <c r="L21" s="959"/>
      <c r="M21" s="959"/>
      <c r="N21" s="959"/>
      <c r="O21" s="959"/>
      <c r="P21" s="959"/>
      <c r="Q21" s="959"/>
      <c r="R21" s="959"/>
      <c r="S21" s="959"/>
      <c r="T21" s="959"/>
      <c r="X21" s="11"/>
      <c r="Y21" s="11"/>
    </row>
    <row r="22" spans="1:25" ht="15.75" thickBot="1">
      <c r="A22" s="1085" t="b">
        <f>A15=2</f>
        <v>0</v>
      </c>
      <c r="B22" s="13" t="str">
        <f>IF(A22,"Yes","No")</f>
        <v>No</v>
      </c>
      <c r="C22" s="10" t="s">
        <v>848</v>
      </c>
      <c r="D22" s="7"/>
      <c r="E22" s="7"/>
      <c r="F22" s="2">
        <f>IF($B$22="No",0,Endowment!N61)*$B$24</f>
        <v>0</v>
      </c>
      <c r="G22" s="2">
        <f>IF($B$22="No",0,Endowment!O61)*$B$24</f>
        <v>0</v>
      </c>
      <c r="H22" s="2">
        <f>IF($B$22="No",0,Endowment!P61)*$B$24</f>
        <v>0</v>
      </c>
      <c r="I22" s="2">
        <f>IF($B$22="No",0,Endowment!Q61)*$B$24</f>
        <v>0</v>
      </c>
      <c r="J22" s="2">
        <f>IF($B$22="No",0,Endowment!R61)*$B$24</f>
        <v>0</v>
      </c>
      <c r="K22" s="2">
        <f>IF($B$22="No",0,Endowment!S61)*$B$24</f>
        <v>0</v>
      </c>
      <c r="L22" s="2">
        <f>IF($B$22="No",0,Endowment!T61)*$B$24</f>
        <v>0</v>
      </c>
      <c r="M22" s="2">
        <f>IF($B$22="No",0,Endowment!U61)*$B$24</f>
        <v>0</v>
      </c>
      <c r="N22" s="2">
        <f>IF($B$22="No",0,Endowment!V61)*$B$24</f>
        <v>0</v>
      </c>
      <c r="O22" s="2">
        <f>IF($B$22="No",0,Endowment!W61)*$B$24</f>
        <v>0</v>
      </c>
      <c r="P22" s="2">
        <f>IF($B$22="No",0,Endowment!X61)*$B$24</f>
        <v>0</v>
      </c>
      <c r="Q22" s="2">
        <f>IF($B$22="No",0,Endowment!Y61)*$B$24</f>
        <v>0</v>
      </c>
      <c r="R22" s="2">
        <f>IF($B$22="No",0,Endowment!Z61)*$B$24</f>
        <v>0</v>
      </c>
      <c r="S22" s="2">
        <f>IF($B$22="No",0,Endowment!AA61)*$B$24</f>
        <v>0</v>
      </c>
      <c r="T22" s="2">
        <f>IF($B$22="No",0,Endowment!AB61)*$B$24</f>
        <v>0</v>
      </c>
      <c r="X22" s="11">
        <v>0.7</v>
      </c>
    </row>
    <row r="23" spans="1:25" ht="15.75" thickBot="1">
      <c r="A23" s="1085">
        <v>1</v>
      </c>
      <c r="B23" s="18">
        <f>0.035+0.005*A23</f>
        <v>0.04</v>
      </c>
      <c r="C23" s="154" t="s">
        <v>849</v>
      </c>
      <c r="D23" s="7"/>
      <c r="E23" s="7"/>
      <c r="F23" s="7"/>
      <c r="G23" s="7"/>
      <c r="H23" s="7"/>
      <c r="I23" s="7"/>
      <c r="J23" s="7"/>
      <c r="K23" s="7"/>
      <c r="L23" s="7"/>
      <c r="M23" s="7"/>
      <c r="N23" s="7"/>
      <c r="O23" s="7"/>
      <c r="P23" s="7"/>
      <c r="Q23" s="7"/>
      <c r="R23" s="7"/>
      <c r="S23" s="7"/>
      <c r="T23" s="7"/>
      <c r="X23" s="11">
        <v>0.75</v>
      </c>
      <c r="Y23" s="11"/>
    </row>
    <row r="24" spans="1:25" ht="15.75" thickBot="1">
      <c r="B24" s="15">
        <f>B16</f>
        <v>0</v>
      </c>
      <c r="C24" s="154" t="s">
        <v>214</v>
      </c>
      <c r="D24" s="7"/>
      <c r="E24" s="7"/>
      <c r="F24" s="7"/>
      <c r="G24" s="7"/>
      <c r="H24" s="7"/>
      <c r="I24" s="7"/>
      <c r="J24" s="7"/>
      <c r="K24" s="7"/>
      <c r="L24" s="7"/>
      <c r="M24" s="7"/>
      <c r="N24" s="7"/>
      <c r="O24" s="7"/>
      <c r="P24" s="7"/>
      <c r="Q24" s="7"/>
      <c r="R24" s="7"/>
      <c r="S24" s="7"/>
      <c r="T24" s="7"/>
      <c r="X24" s="11">
        <v>0.8</v>
      </c>
      <c r="Y24" s="11"/>
    </row>
    <row r="25" spans="1:25" ht="15.75" thickBot="1">
      <c r="C25" s="39" t="s">
        <v>850</v>
      </c>
      <c r="D25" s="7"/>
      <c r="E25" s="7"/>
      <c r="F25" s="2">
        <f>IF(AND($B$26="Yes"),$E$206*B27*(B28),0)/2</f>
        <v>0</v>
      </c>
      <c r="G25" s="2">
        <f t="shared" ref="G25:S25" si="4">IF(AND($B$26="Yes"),$E$206*$B$27*($B$28),0)</f>
        <v>0</v>
      </c>
      <c r="H25" s="2">
        <f t="shared" si="4"/>
        <v>0</v>
      </c>
      <c r="I25" s="2">
        <f t="shared" si="4"/>
        <v>0</v>
      </c>
      <c r="J25" s="2">
        <f t="shared" si="4"/>
        <v>0</v>
      </c>
      <c r="K25" s="2">
        <f t="shared" si="4"/>
        <v>0</v>
      </c>
      <c r="L25" s="2">
        <f t="shared" si="4"/>
        <v>0</v>
      </c>
      <c r="M25" s="2">
        <f t="shared" si="4"/>
        <v>0</v>
      </c>
      <c r="N25" s="2">
        <f t="shared" si="4"/>
        <v>0</v>
      </c>
      <c r="O25" s="2">
        <f t="shared" si="4"/>
        <v>0</v>
      </c>
      <c r="P25" s="2">
        <f t="shared" si="4"/>
        <v>0</v>
      </c>
      <c r="Q25" s="2">
        <f t="shared" si="4"/>
        <v>0</v>
      </c>
      <c r="R25" s="2">
        <f t="shared" si="4"/>
        <v>0</v>
      </c>
      <c r="S25" s="2">
        <f t="shared" si="4"/>
        <v>0</v>
      </c>
      <c r="T25" s="2">
        <f>IF(AND($B$26="Yes"),$E$206*$B$27*($B$28),0)+IF(B29="Yes",D265,0)</f>
        <v>0</v>
      </c>
      <c r="U25" s="2"/>
      <c r="X25" s="11">
        <v>0.9</v>
      </c>
    </row>
    <row r="26" spans="1:25" ht="15.75" thickBot="1">
      <c r="A26" s="1085" t="b">
        <v>0</v>
      </c>
      <c r="B26" s="13" t="str">
        <f>IF(A26=TRUE,"Yes","No")</f>
        <v>No</v>
      </c>
      <c r="C26" s="41" t="s">
        <v>215</v>
      </c>
      <c r="D26" s="7"/>
      <c r="E26" s="7"/>
      <c r="F26" s="346">
        <f>IF($A$29,F25,F25)</f>
        <v>0</v>
      </c>
      <c r="G26" s="346">
        <f>IF($A$29,0,G25)</f>
        <v>0</v>
      </c>
      <c r="H26" s="346">
        <f t="shared" ref="H26:T26" si="5">IF($A$29,0,H25)</f>
        <v>0</v>
      </c>
      <c r="I26" s="346">
        <f t="shared" si="5"/>
        <v>0</v>
      </c>
      <c r="J26" s="346">
        <f t="shared" si="5"/>
        <v>0</v>
      </c>
      <c r="K26" s="346">
        <f t="shared" si="5"/>
        <v>0</v>
      </c>
      <c r="L26" s="346">
        <f t="shared" si="5"/>
        <v>0</v>
      </c>
      <c r="M26" s="346">
        <f t="shared" si="5"/>
        <v>0</v>
      </c>
      <c r="N26" s="346">
        <f t="shared" si="5"/>
        <v>0</v>
      </c>
      <c r="O26" s="346">
        <f t="shared" si="5"/>
        <v>0</v>
      </c>
      <c r="P26" s="346">
        <f t="shared" si="5"/>
        <v>0</v>
      </c>
      <c r="Q26" s="346">
        <f t="shared" si="5"/>
        <v>0</v>
      </c>
      <c r="R26" s="346">
        <f t="shared" si="5"/>
        <v>0</v>
      </c>
      <c r="S26" s="346">
        <f t="shared" si="5"/>
        <v>0</v>
      </c>
      <c r="T26" s="346">
        <f t="shared" si="5"/>
        <v>0</v>
      </c>
      <c r="U26" s="2"/>
    </row>
    <row r="27" spans="1:25" ht="15.75" thickBot="1">
      <c r="A27" s="1085">
        <v>4</v>
      </c>
      <c r="B27" s="16">
        <f>A27*0.05</f>
        <v>0.2</v>
      </c>
      <c r="C27" s="41" t="s">
        <v>459</v>
      </c>
      <c r="D27" s="7"/>
      <c r="E27" s="7"/>
      <c r="F27" s="2"/>
      <c r="G27" s="2"/>
      <c r="H27" s="2"/>
      <c r="I27" s="2"/>
      <c r="J27" s="2"/>
      <c r="K27" s="2"/>
      <c r="L27" s="2"/>
      <c r="M27" s="2"/>
      <c r="N27" s="2"/>
      <c r="O27" s="2"/>
      <c r="P27" s="2"/>
      <c r="Q27" s="2"/>
      <c r="R27" s="2"/>
      <c r="S27" s="2"/>
      <c r="T27" s="2"/>
      <c r="U27" s="2"/>
    </row>
    <row r="28" spans="1:25" ht="15.75" thickBot="1">
      <c r="B28" s="984">
        <v>3.3913043478260865E-2</v>
      </c>
      <c r="C28" s="41" t="s">
        <v>804</v>
      </c>
      <c r="D28" s="7"/>
      <c r="E28" s="7"/>
      <c r="F28" s="2"/>
      <c r="G28" s="2"/>
      <c r="H28" s="2"/>
      <c r="I28" s="2"/>
      <c r="J28" s="2"/>
      <c r="K28" s="2"/>
      <c r="L28" s="2"/>
      <c r="M28" s="2"/>
      <c r="N28" s="2"/>
      <c r="O28" s="2"/>
      <c r="P28" s="2"/>
      <c r="Q28" s="2"/>
      <c r="R28" s="2"/>
      <c r="S28" s="2"/>
      <c r="T28" s="2"/>
      <c r="U28" s="2"/>
    </row>
    <row r="29" spans="1:25" ht="15.75" thickBot="1">
      <c r="A29" s="1085" t="b">
        <v>0</v>
      </c>
      <c r="B29" s="13" t="str">
        <f>IF(A29=TRUE,"Yes","No")</f>
        <v>No</v>
      </c>
      <c r="C29" s="41" t="s">
        <v>12</v>
      </c>
      <c r="D29" s="7"/>
      <c r="E29" s="7"/>
      <c r="F29" s="7"/>
      <c r="G29" s="28">
        <f>IF(A29,NPV(Graphs!C5,'All Rev &amp; Projects'!G25:T25)*0.9,0)</f>
        <v>0</v>
      </c>
      <c r="H29" s="7"/>
      <c r="I29" s="7"/>
      <c r="J29" s="7"/>
      <c r="K29" s="7"/>
      <c r="L29" s="7"/>
      <c r="M29" s="7"/>
      <c r="N29" s="7"/>
      <c r="O29" s="7"/>
      <c r="P29" s="7"/>
      <c r="Q29" s="7"/>
      <c r="R29" s="7"/>
      <c r="S29" s="7"/>
      <c r="T29" s="7"/>
    </row>
    <row r="30" spans="1:25" ht="15.75" thickBot="1">
      <c r="B30" s="18">
        <v>0.06</v>
      </c>
      <c r="C30" s="41" t="s">
        <v>43</v>
      </c>
      <c r="D30" s="7"/>
      <c r="E30" s="7"/>
      <c r="F30" s="7"/>
      <c r="G30" s="7"/>
      <c r="H30" s="7"/>
      <c r="I30" s="7"/>
      <c r="J30" s="7"/>
      <c r="K30" s="7"/>
      <c r="L30" s="7"/>
      <c r="M30" s="7"/>
      <c r="N30" s="7"/>
      <c r="O30" s="7"/>
      <c r="P30" s="7"/>
      <c r="Q30" s="7"/>
      <c r="R30" s="7"/>
      <c r="S30" s="7"/>
      <c r="T30" s="7"/>
    </row>
    <row r="31" spans="1:25" ht="7.5" customHeight="1">
      <c r="C31" s="10"/>
      <c r="D31" s="10"/>
      <c r="E31" s="10"/>
    </row>
    <row r="32" spans="1:25" ht="15" customHeight="1" thickBot="1">
      <c r="C32" s="40" t="s">
        <v>54</v>
      </c>
      <c r="D32" s="31"/>
      <c r="E32" s="31"/>
      <c r="F32" s="31"/>
      <c r="G32" s="31"/>
      <c r="H32" s="31"/>
      <c r="I32" s="31"/>
      <c r="J32" s="31"/>
      <c r="K32" s="31"/>
      <c r="L32" s="31"/>
      <c r="M32" s="31"/>
      <c r="N32" s="31"/>
      <c r="O32" s="31"/>
      <c r="P32" s="31"/>
      <c r="Q32" s="31"/>
      <c r="R32" s="31"/>
      <c r="S32" s="31"/>
      <c r="T32" s="31"/>
    </row>
    <row r="33" spans="1:24" ht="15" customHeight="1" thickBot="1">
      <c r="A33" s="1085" t="b">
        <v>0</v>
      </c>
      <c r="B33" s="13" t="str">
        <f>IF(A33=TRUE,"Yes","No")</f>
        <v>No</v>
      </c>
      <c r="C33" s="3" t="s">
        <v>58</v>
      </c>
      <c r="D33" s="7"/>
      <c r="E33" s="7"/>
      <c r="F33" s="12">
        <f>IF($B$33="Yes",'Petroleum - Non CIT'!B2,0)</f>
        <v>0</v>
      </c>
      <c r="G33" s="12">
        <f>IF($B$33="Yes",'Petroleum - Non CIT'!C2,0)</f>
        <v>0</v>
      </c>
      <c r="H33" s="12">
        <f>IF($B$33="Yes",'Petroleum - Non CIT'!D2,0)</f>
        <v>0</v>
      </c>
      <c r="I33" s="12">
        <f>IF($B$33="Yes",'Petroleum - Non CIT'!E2,0)</f>
        <v>0</v>
      </c>
      <c r="J33" s="12">
        <f>IF($B$33="Yes",'Petroleum - Non CIT'!F2,0)</f>
        <v>0</v>
      </c>
      <c r="K33" s="12">
        <f>IF($B$33="Yes",'Petroleum - Non CIT'!G2,0)</f>
        <v>0</v>
      </c>
      <c r="L33" s="12">
        <f>IF($B$33="Yes",'Petroleum - Non CIT'!H2,0)</f>
        <v>0</v>
      </c>
      <c r="M33" s="12">
        <f>IF($B$33="Yes",'Petroleum - Non CIT'!I2,0)</f>
        <v>0</v>
      </c>
      <c r="N33" s="12">
        <f>IF($B$33="Yes",'Petroleum - Non CIT'!J2,0)</f>
        <v>0</v>
      </c>
      <c r="O33" s="12">
        <f>IF($B$33="Yes",'Petroleum - Non CIT'!K2,0)</f>
        <v>0</v>
      </c>
      <c r="P33" s="12">
        <f>IF($B$33="Yes",'Petroleum - Non CIT'!L2,0)</f>
        <v>0</v>
      </c>
      <c r="Q33" s="12">
        <f>IF($B$33="Yes",'Petroleum - Non CIT'!M2,0)</f>
        <v>0</v>
      </c>
      <c r="R33" s="12">
        <f>IF($B$33="Yes",'Petroleum - Non CIT'!N2,0)</f>
        <v>0</v>
      </c>
      <c r="S33" s="12">
        <f>IF($B$33="Yes",'Petroleum - Non CIT'!O2,0)</f>
        <v>0</v>
      </c>
      <c r="T33" s="12">
        <f>IF($B$33="Yes",'Petroleum - Non CIT'!P2,0)</f>
        <v>0</v>
      </c>
    </row>
    <row r="34" spans="1:24" ht="15" customHeight="1">
      <c r="C34" s="10" t="s">
        <v>59</v>
      </c>
      <c r="D34" s="7"/>
      <c r="E34" s="7"/>
      <c r="F34" s="7"/>
      <c r="G34" s="7"/>
      <c r="H34" s="7"/>
      <c r="I34" s="7"/>
      <c r="J34" s="7"/>
      <c r="K34" s="7"/>
      <c r="L34" s="7"/>
      <c r="M34" s="7"/>
      <c r="N34" s="7"/>
      <c r="O34" s="7"/>
      <c r="P34" s="7"/>
      <c r="Q34" s="7"/>
      <c r="R34" s="7"/>
      <c r="S34" s="7"/>
      <c r="T34" s="7"/>
    </row>
    <row r="35" spans="1:24" ht="20.25" customHeight="1" thickBot="1">
      <c r="C35" s="10"/>
      <c r="D35" s="10"/>
      <c r="E35" s="10"/>
      <c r="F35" s="1081"/>
      <c r="G35" s="1081"/>
      <c r="H35" s="10"/>
      <c r="I35" s="10"/>
      <c r="J35" s="10"/>
      <c r="K35" s="10"/>
      <c r="L35" s="10"/>
      <c r="M35" s="10"/>
      <c r="N35" s="10"/>
      <c r="O35" s="10"/>
      <c r="P35" s="10"/>
      <c r="Q35" s="10"/>
      <c r="R35" s="10"/>
      <c r="S35" s="10"/>
      <c r="T35" s="10"/>
      <c r="U35" s="10"/>
    </row>
    <row r="36" spans="1:24" ht="15" customHeight="1" thickBot="1">
      <c r="A36" s="1085" t="b">
        <v>0</v>
      </c>
      <c r="B36" s="13" t="str">
        <f>IF(A36=TRUE,"Yes","No")</f>
        <v>No</v>
      </c>
      <c r="C36" s="19" t="s">
        <v>335</v>
      </c>
      <c r="D36" s="7"/>
      <c r="E36" s="7"/>
      <c r="F36" s="12">
        <f>ROUND(IF(AND($B$36="Yes",(F42-F38)*$B$37-F37&lt;F42,$B$38="No"),(F42-F38)*$B$37-(F37-(F38-'other tax rate changes'!B6)*0.35)+'base tax rate changes'!B2,IF(AND($B$36="Yes",F42*$B$37-F37&lt;F42,$B$38="Yes"),(F42)*$B$37-(F37-(F38-'other tax rate changes'!B6)*0.35)+'base tax rate changes'!B2,0)),4)</f>
        <v>0</v>
      </c>
      <c r="G36" s="12">
        <f>ROUND(IF(AND($B$36="Yes",(G42-G38)*$B$37-G37&lt;G42,$B$38="No"),(G42-G38)*$B$37-(G37-(G38-'other tax rate changes'!C6)*0.35)+'base tax rate changes'!C2,IF(AND($B$36="Yes",G42*$B$37-G37&lt;G42,$B$38="Yes"),(G42)*$B$37-(G37-(G38-'other tax rate changes'!C6)*0.35)+'base tax rate changes'!C2,0)),4)</f>
        <v>0</v>
      </c>
      <c r="H36" s="12">
        <f>ROUND(IF(AND($B$36="Yes",(H42-H38)*$B$37-H37&lt;H42,$B$38="No"),(H42-H38)*$B$37-(H37-(H38-'other tax rate changes'!D6)*0.35)+'base tax rate changes'!D2,IF(AND($B$36="Yes",H42*$B$37-H37&lt;H42,$B$38="Yes"),(H42)*$B$37-(H37-(H38-'other tax rate changes'!D6)*0.35)+'base tax rate changes'!D2,0)),4)</f>
        <v>0</v>
      </c>
      <c r="I36" s="12">
        <f>ROUND(IF(AND($B$36="Yes",(I42-I38)*$B$37-I37&lt;I42,$B$38="No"),(I42-I38)*$B$37-(I37-(I38-'other tax rate changes'!E6)*0.35)+'base tax rate changes'!E2,IF(AND($B$36="Yes",I42*$B$37-I37&lt;I42,$B$38="Yes"),(I42)*$B$37-(I37-(I38-'other tax rate changes'!E6)*0.35)+'base tax rate changes'!E2,0)),4)</f>
        <v>0</v>
      </c>
      <c r="J36" s="12">
        <f>ROUND(IF(AND($B$36="Yes",(J42-J38)*$B$37-J37&lt;J42,$B$38="No"),(J42-J38)*$B$37-(J37-(J38-'other tax rate changes'!F6)*0.35)+'base tax rate changes'!F2,IF(AND($B$36="Yes",J42*$B$37-J37&lt;J42,$B$38="Yes"),(J42)*$B$37-(J37-(J38-'other tax rate changes'!F6)*0.35)+'base tax rate changes'!F2,0)),4)</f>
        <v>0</v>
      </c>
      <c r="K36" s="12">
        <f>ROUND(IF(AND($B$36="Yes",(K42-K38)*$B$37-K37&lt;K42,$B$38="No"),(K42-K38)*$B$37-(K37-(K38-'other tax rate changes'!G6)*0.35)+'base tax rate changes'!G2,IF(AND($B$36="Yes",K42*$B$37-K37&lt;K42,$B$38="Yes"),(K42)*$B$37-(K37-(K38-'other tax rate changes'!G6)*0.35)+'base tax rate changes'!G2,0)),4)</f>
        <v>0</v>
      </c>
      <c r="L36" s="12">
        <f>ROUND(IF(AND($B$36="Yes",(L42-L38)*$B$37-L37&lt;L42,$B$38="No"),(L42-L38)*$B$37-(L37-(L38-'other tax rate changes'!H6)*0.35)+'base tax rate changes'!H2,IF(AND($B$36="Yes",L42*$B$37-L37&lt;L42,$B$38="Yes"),(L42)*$B$37-(L37-(L38-'other tax rate changes'!H6)*0.35)+'base tax rate changes'!H2,0)),4)</f>
        <v>0</v>
      </c>
      <c r="M36" s="12">
        <f>ROUND(IF(AND($B$36="Yes",(M42-M38)*$B$37-M37&lt;M42,$B$38="No"),(M42-M38)*$B$37-(M37-(M38-'other tax rate changes'!I6)*0.35)+'base tax rate changes'!I2,IF(AND($B$36="Yes",M42*$B$37-M37&lt;M42,$B$38="Yes"),(M42)*$B$37-(M37-(M38-'other tax rate changes'!I6)*0.35)+'base tax rate changes'!I2,0)),4)</f>
        <v>0</v>
      </c>
      <c r="N36" s="12">
        <f>ROUND(IF(AND($B$36="Yes",(N42-N38)*$B$37-N37&lt;N42,$B$38="No"),(N42-N38)*$B$37-(N37-(N38-'other tax rate changes'!J6)*0.35)+'base tax rate changes'!J2,IF(AND($B$36="Yes",N42*$B$37-N37&lt;N42,$B$38="Yes"),(N42)*$B$37-(N37-(N38-'other tax rate changes'!J6)*0.35)+'base tax rate changes'!J2,0)),4)</f>
        <v>0</v>
      </c>
      <c r="O36" s="12">
        <f>ROUND(IF(AND($B$36="Yes",(O42-O38)*$B$37-O37&lt;O42,$B$38="No"),(O42-O38)*$B$37-(O37-(O38-'other tax rate changes'!K6)*0.35)+'base tax rate changes'!K2,IF(AND($B$36="Yes",O42*$B$37-O37&lt;O42,$B$38="Yes"),(O42)*$B$37-(O37-(O38-'other tax rate changes'!K6)*0.35)+'base tax rate changes'!K2,0)),4)</f>
        <v>0</v>
      </c>
      <c r="P36" s="12">
        <f>ROUND(IF(AND($B$36="Yes",(P42-P38)*$B$37-P37&lt;P42,$B$38="No"),(P42-P38)*$B$37-(P37-(P38-'other tax rate changes'!L6)*0.35)+'base tax rate changes'!L2,IF(AND($B$36="Yes",P42*$B$37-P37&lt;P42,$B$38="Yes"),(P42)*$B$37-(P37-(P38-'other tax rate changes'!L6)*0.35)+'base tax rate changes'!L2,0)),4)</f>
        <v>0</v>
      </c>
      <c r="Q36" s="12">
        <f>ROUND(IF(AND($B$36="Yes",(Q42-Q38)*$B$37-Q37&lt;Q42,$B$38="No"),(Q42-Q38)*$B$37-(Q37-(Q38-'other tax rate changes'!M6)*0.35)+'base tax rate changes'!M2,IF(AND($B$36="Yes",Q42*$B$37-Q37&lt;Q42,$B$38="Yes"),(Q42)*$B$37-(Q37-(Q38-'other tax rate changes'!M6)*0.35)+'base tax rate changes'!M2,0)),4)</f>
        <v>0</v>
      </c>
      <c r="R36" s="12">
        <f>ROUND(IF(AND($B$36="Yes",(R42-R38)*$B$37-R37&lt;R42,$B$38="No"),(R42-R38)*$B$37-(R37-(R38-'other tax rate changes'!N6)*0.35)+'base tax rate changes'!N2,IF(AND($B$36="Yes",R42*$B$37-R37&lt;R42,$B$38="Yes"),(R42)*$B$37-(R37-(R38-'other tax rate changes'!N6)*0.35)+'base tax rate changes'!N2,0)),4)</f>
        <v>0</v>
      </c>
      <c r="S36" s="12">
        <f>ROUND(IF(AND($B$36="Yes",(S42-S38)*$B$37-S37&lt;S42,$B$38="No"),(S42-S38)*$B$37-(S37-(S38-'other tax rate changes'!O6)*0.35)+'base tax rate changes'!O2,IF(AND($B$36="Yes",S42*$B$37-S37&lt;S42,$B$38="Yes"),(S42)*$B$37-(S37-(S38-'other tax rate changes'!O6)*0.35)+'base tax rate changes'!O2,0)),4)</f>
        <v>0</v>
      </c>
      <c r="T36" s="12">
        <f>ROUND(IF(AND($B$36="Yes",(T42-T38)*$B$37-T37&lt;T42,$B$38="No"),(T42-T38)*$B$37-(T37-(T38-'other tax rate changes'!P6)*0.35)+'base tax rate changes'!P2,IF(AND($B$36="Yes",T42*$B$37-T37&lt;T42,$B$38="Yes"),(T42)*$B$37-(T37-(T38-'other tax rate changes'!P6)*0.35)+'base tax rate changes'!P2,0)),4)</f>
        <v>0</v>
      </c>
    </row>
    <row r="37" spans="1:24" ht="15" customHeight="1" thickBot="1">
      <c r="A37" s="1085">
        <v>8</v>
      </c>
      <c r="B37" s="15">
        <f>A37*0.05-0.05</f>
        <v>0.35000000000000003</v>
      </c>
      <c r="C37" s="20" t="s">
        <v>334</v>
      </c>
      <c r="D37" s="7"/>
      <c r="E37" s="7"/>
      <c r="F37" s="7">
        <v>884.88801388039406</v>
      </c>
      <c r="G37" s="7">
        <v>2119.4269735527523</v>
      </c>
      <c r="H37" s="7">
        <v>2112.5878938126939</v>
      </c>
      <c r="I37" s="7">
        <v>2368.8399421642621</v>
      </c>
      <c r="J37" s="7">
        <v>2796.5174957984473</v>
      </c>
      <c r="K37" s="7">
        <v>2565.9382466595725</v>
      </c>
      <c r="L37" s="7">
        <v>2393.1802028728098</v>
      </c>
      <c r="M37" s="7">
        <v>2360.4046670791467</v>
      </c>
      <c r="N37" s="7">
        <v>2276.89524217504</v>
      </c>
      <c r="O37" s="7">
        <v>2072.0675794382832</v>
      </c>
      <c r="P37" s="7">
        <v>1878.0675031582007</v>
      </c>
      <c r="Q37" s="7">
        <v>1712.6612882306422</v>
      </c>
      <c r="R37" s="7">
        <v>1581.1039228023062</v>
      </c>
      <c r="S37" s="7">
        <v>1435.6177222908918</v>
      </c>
      <c r="T37" s="7">
        <v>1315.1146910418279</v>
      </c>
    </row>
    <row r="38" spans="1:24" ht="15" customHeight="1" thickBot="1">
      <c r="A38" s="1085" t="b">
        <v>0</v>
      </c>
      <c r="B38" s="13" t="str">
        <f>IF(A38=TRUE,"Yes","No")</f>
        <v>No</v>
      </c>
      <c r="C38" s="20" t="s">
        <v>374</v>
      </c>
      <c r="D38" s="7"/>
      <c r="E38" s="7"/>
      <c r="F38" s="7">
        <f>'other tax rate changes'!B4</f>
        <v>39.93446791806889</v>
      </c>
      <c r="G38" s="7">
        <f>'other tax rate changes'!C4</f>
        <v>98.005515159447114</v>
      </c>
      <c r="H38" s="7">
        <f>'other tax rate changes'!D4</f>
        <v>145.58843836067302</v>
      </c>
      <c r="I38" s="7">
        <f>'other tax rate changes'!E4</f>
        <v>135.04097184424143</v>
      </c>
      <c r="J38" s="7">
        <f>'other tax rate changes'!F4</f>
        <v>129.93143494744507</v>
      </c>
      <c r="K38" s="7">
        <f>'other tax rate changes'!G4</f>
        <v>125.68262961439653</v>
      </c>
      <c r="L38" s="7">
        <f>'other tax rate changes'!H4</f>
        <v>106.2965930535118</v>
      </c>
      <c r="M38" s="7">
        <f>'other tax rate changes'!I4</f>
        <v>103.70918426159207</v>
      </c>
      <c r="N38" s="7">
        <f>'other tax rate changes'!J4</f>
        <v>89.420187236479521</v>
      </c>
      <c r="O38" s="7">
        <f>'other tax rate changes'!K4</f>
        <v>63.848004041075725</v>
      </c>
      <c r="P38" s="7">
        <f>'other tax rate changes'!L4</f>
        <v>54.424685227562236</v>
      </c>
      <c r="Q38" s="7">
        <f>'other tax rate changes'!M4</f>
        <v>6.1595316916819911</v>
      </c>
      <c r="R38" s="7">
        <f>'other tax rate changes'!N4</f>
        <v>3.8662637235001682</v>
      </c>
      <c r="S38" s="7">
        <f>'other tax rate changes'!O4</f>
        <v>1.7698141136951762</v>
      </c>
      <c r="T38" s="7">
        <f>'other tax rate changes'!P4</f>
        <v>3.8572005639694282</v>
      </c>
      <c r="X38" s="11"/>
    </row>
    <row r="39" spans="1:24" ht="7.5" customHeight="1" thickBot="1">
      <c r="C39" s="20"/>
      <c r="D39" s="20"/>
      <c r="E39" s="20"/>
      <c r="F39" s="20"/>
      <c r="G39" s="20"/>
      <c r="H39" s="20"/>
      <c r="I39" s="20"/>
      <c r="J39" s="20"/>
      <c r="K39" s="20"/>
      <c r="L39" s="20"/>
      <c r="M39" s="20"/>
      <c r="N39" s="20"/>
      <c r="O39" s="20"/>
      <c r="P39" s="20"/>
      <c r="Q39" s="20"/>
      <c r="R39" s="20"/>
      <c r="S39" s="20"/>
      <c r="T39" s="20"/>
      <c r="U39" s="20"/>
      <c r="X39" s="11"/>
    </row>
    <row r="40" spans="1:24" ht="15" customHeight="1" thickBot="1">
      <c r="A40" s="1085" t="b">
        <v>0</v>
      </c>
      <c r="B40" s="13" t="str">
        <f>IF(A40=TRUE,"Yes","No")</f>
        <v>No</v>
      </c>
      <c r="C40" s="19" t="s">
        <v>376</v>
      </c>
      <c r="D40" s="7"/>
      <c r="E40" s="7"/>
      <c r="F40" s="12">
        <f>IF(AND($B$40="Yes",F41/4*100*$B$41&lt;F42),F41/4*100*$B$41-F41,IF($B$40="No",0,F42))</f>
        <v>0</v>
      </c>
      <c r="G40" s="12">
        <f t="shared" ref="G40:R40" si="6">IF(AND($B$40="Yes",G41/4*100*$B$41&lt;G42),G41/4*100*$B$41-G41,IF($B$40="No",0,G42))</f>
        <v>0</v>
      </c>
      <c r="H40" s="12">
        <f t="shared" si="6"/>
        <v>0</v>
      </c>
      <c r="I40" s="12">
        <f t="shared" si="6"/>
        <v>0</v>
      </c>
      <c r="J40" s="12">
        <f t="shared" si="6"/>
        <v>0</v>
      </c>
      <c r="K40" s="12">
        <f t="shared" si="6"/>
        <v>0</v>
      </c>
      <c r="L40" s="12">
        <f t="shared" si="6"/>
        <v>0</v>
      </c>
      <c r="M40" s="12">
        <f t="shared" si="6"/>
        <v>0</v>
      </c>
      <c r="N40" s="12">
        <f t="shared" si="6"/>
        <v>0</v>
      </c>
      <c r="O40" s="12">
        <f t="shared" si="6"/>
        <v>0</v>
      </c>
      <c r="P40" s="12">
        <f t="shared" si="6"/>
        <v>0</v>
      </c>
      <c r="Q40" s="12">
        <f t="shared" si="6"/>
        <v>0</v>
      </c>
      <c r="R40" s="12">
        <f t="shared" si="6"/>
        <v>0</v>
      </c>
      <c r="S40" s="12">
        <f>IF(AND($B$40="Yes",S41/4*100*$B$41&lt;S42),S41/4*100*$B$41-S41,IF($B$40="No",0,S42))</f>
        <v>0</v>
      </c>
      <c r="T40" s="12">
        <f>IF(AND($B$40="Yes",T41/4*100*$B$41&lt;T42),T41/4*100*$B$41-T41,IF($B$40="No",0,T42))</f>
        <v>0</v>
      </c>
      <c r="X40" s="11"/>
    </row>
    <row r="41" spans="1:24" ht="15" customHeight="1" thickBot="1">
      <c r="A41" s="1085">
        <v>1</v>
      </c>
      <c r="B41" s="15">
        <f>0.01*A41+0.04</f>
        <v>0.05</v>
      </c>
      <c r="C41" s="20" t="s">
        <v>330</v>
      </c>
      <c r="D41" s="7"/>
      <c r="E41" s="7"/>
      <c r="F41" s="7">
        <f>0.04*'other tax rate changes'!B22</f>
        <v>399.57117994410169</v>
      </c>
      <c r="G41" s="7">
        <f>0.04*'other tax rate changes'!C22</f>
        <v>421.05589780554686</v>
      </c>
      <c r="H41" s="7">
        <f>0.04*'other tax rate changes'!D22</f>
        <v>407.44704042490207</v>
      </c>
      <c r="I41" s="7">
        <f>0.04*'other tax rate changes'!E22</f>
        <v>384.75577365741401</v>
      </c>
      <c r="J41" s="7">
        <f>0.04*'other tax rate changes'!F22</f>
        <v>367.59237526307572</v>
      </c>
      <c r="K41" s="7">
        <f>0.04*'other tax rate changes'!G22</f>
        <v>343.82316179562912</v>
      </c>
      <c r="L41" s="7">
        <f>0.04*'other tax rate changes'!H22</f>
        <v>320.81265306025335</v>
      </c>
      <c r="M41" s="7">
        <f>0.04*'other tax rate changes'!I22</f>
        <v>303.21200825283171</v>
      </c>
      <c r="N41" s="7">
        <f>0.04*'other tax rate changes'!J22</f>
        <v>282.68399472970231</v>
      </c>
      <c r="O41" s="7">
        <f>0.04*'other tax rate changes'!K22</f>
        <v>254.47115878594508</v>
      </c>
      <c r="P41" s="7">
        <f>0.04*'other tax rate changes'!L22</f>
        <v>230.83388640545323</v>
      </c>
      <c r="Q41" s="7">
        <f>0.04*'other tax rate changes'!M22</f>
        <v>210.70756110470811</v>
      </c>
      <c r="R41" s="7">
        <f>0.04*'other tax rate changes'!N22</f>
        <v>193.71741691703602</v>
      </c>
      <c r="S41" s="7">
        <f>0.04*'other tax rate changes'!O22</f>
        <v>177.00747434588106</v>
      </c>
      <c r="T41" s="7">
        <f>0.04*'other tax rate changes'!P22</f>
        <v>162.39144014952524</v>
      </c>
      <c r="X41" s="11"/>
    </row>
    <row r="42" spans="1:24" ht="15" customHeight="1">
      <c r="C42" s="20" t="s">
        <v>332</v>
      </c>
      <c r="D42" s="7"/>
      <c r="E42" s="7"/>
      <c r="F42" s="7">
        <v>2553.9002218620499</v>
      </c>
      <c r="G42" s="7">
        <v>6224.9397253101679</v>
      </c>
      <c r="H42" s="7">
        <v>6252.9824206826561</v>
      </c>
      <c r="I42" s="7">
        <v>6974.5836637421335</v>
      </c>
      <c r="J42" s="7">
        <v>8248.5528515144379</v>
      </c>
      <c r="K42" s="7">
        <v>7571.2204772131763</v>
      </c>
      <c r="L42" s="7">
        <v>7043.9543155472547</v>
      </c>
      <c r="M42" s="7">
        <v>6947.7225187734402</v>
      </c>
      <c r="N42" s="7">
        <v>6709.1208791651661</v>
      </c>
      <c r="O42" s="7">
        <v>6098.3268024361705</v>
      </c>
      <c r="P42" s="7">
        <v>5520.3318371081359</v>
      </c>
      <c r="Q42" s="7">
        <v>5028.0489266363738</v>
      </c>
      <c r="R42" s="7">
        <v>4635.5917574443756</v>
      </c>
      <c r="S42" s="7">
        <v>4203.5347349448148</v>
      </c>
      <c r="T42" s="7">
        <v>3847.0420321120491</v>
      </c>
      <c r="X42" s="11"/>
    </row>
    <row r="43" spans="1:24" ht="15" customHeight="1">
      <c r="C43" s="20" t="s">
        <v>331</v>
      </c>
      <c r="D43" s="7"/>
      <c r="E43" s="7"/>
      <c r="F43" s="7">
        <f>F42-F41-F40</f>
        <v>2154.3290419179484</v>
      </c>
      <c r="G43" s="7">
        <f t="shared" ref="G43:T43" si="7">G42-G41-G40</f>
        <v>5803.883827504621</v>
      </c>
      <c r="H43" s="7">
        <f>H42-H41-H40</f>
        <v>5845.5353802577538</v>
      </c>
      <c r="I43" s="7">
        <f t="shared" si="7"/>
        <v>6589.8278900847199</v>
      </c>
      <c r="J43" s="7">
        <f t="shared" si="7"/>
        <v>7880.9604762513618</v>
      </c>
      <c r="K43" s="7">
        <f t="shared" si="7"/>
        <v>7227.3973154175474</v>
      </c>
      <c r="L43" s="7">
        <f t="shared" si="7"/>
        <v>6723.1416624870017</v>
      </c>
      <c r="M43" s="7">
        <f t="shared" si="7"/>
        <v>6644.5105105206085</v>
      </c>
      <c r="N43" s="7">
        <f t="shared" si="7"/>
        <v>6426.436884435464</v>
      </c>
      <c r="O43" s="7">
        <f t="shared" si="7"/>
        <v>5843.8556436502258</v>
      </c>
      <c r="P43" s="7">
        <f t="shared" si="7"/>
        <v>5289.4979507026828</v>
      </c>
      <c r="Q43" s="7">
        <f t="shared" si="7"/>
        <v>4817.3413655316654</v>
      </c>
      <c r="R43" s="7">
        <f t="shared" si="7"/>
        <v>4441.8743405273399</v>
      </c>
      <c r="S43" s="7">
        <f t="shared" si="7"/>
        <v>4026.5272605989339</v>
      </c>
      <c r="T43" s="7">
        <f t="shared" si="7"/>
        <v>3684.6505919625238</v>
      </c>
      <c r="X43" s="11"/>
    </row>
    <row r="44" spans="1:24" ht="7.5" customHeight="1">
      <c r="C44" s="20"/>
      <c r="D44" s="12"/>
      <c r="E44" s="12"/>
      <c r="F44" s="12"/>
      <c r="G44" s="12"/>
      <c r="H44" s="12"/>
      <c r="I44" s="12"/>
      <c r="J44" s="12"/>
      <c r="K44" s="12"/>
      <c r="L44" s="12"/>
      <c r="M44" s="12"/>
      <c r="N44" s="12"/>
      <c r="O44" s="12"/>
      <c r="P44" s="12"/>
      <c r="Q44" s="12"/>
      <c r="R44" s="12"/>
      <c r="S44" s="12"/>
      <c r="T44" s="12"/>
      <c r="X44" s="11"/>
    </row>
    <row r="45" spans="1:24" ht="15" customHeight="1">
      <c r="C45" s="20" t="s">
        <v>333</v>
      </c>
      <c r="D45" s="7"/>
      <c r="E45" s="7"/>
      <c r="F45" s="12">
        <f>IF(F36+F37&gt;F40+F41,F36,F40+F41-F37)</f>
        <v>0</v>
      </c>
      <c r="G45" s="12">
        <f>IF(G36+G37&gt;G40+G41,G36,G40+G41-G37)</f>
        <v>0</v>
      </c>
      <c r="H45" s="12">
        <f>IF(H36+H37&gt;H40+H41,H36,H40+H41-H37)</f>
        <v>0</v>
      </c>
      <c r="I45" s="12">
        <f t="shared" ref="I45:T45" si="8">IF(I36+I37&gt;I40+I41,I36,I40+I41-I37)</f>
        <v>0</v>
      </c>
      <c r="J45" s="12">
        <f t="shared" si="8"/>
        <v>0</v>
      </c>
      <c r="K45" s="12">
        <f t="shared" si="8"/>
        <v>0</v>
      </c>
      <c r="L45" s="12">
        <f t="shared" si="8"/>
        <v>0</v>
      </c>
      <c r="M45" s="12">
        <f t="shared" si="8"/>
        <v>0</v>
      </c>
      <c r="N45" s="12">
        <f t="shared" si="8"/>
        <v>0</v>
      </c>
      <c r="O45" s="12">
        <f t="shared" si="8"/>
        <v>0</v>
      </c>
      <c r="P45" s="12">
        <f t="shared" si="8"/>
        <v>0</v>
      </c>
      <c r="Q45" s="12">
        <f t="shared" si="8"/>
        <v>0</v>
      </c>
      <c r="R45" s="12">
        <f t="shared" si="8"/>
        <v>0</v>
      </c>
      <c r="S45" s="12">
        <f t="shared" si="8"/>
        <v>0</v>
      </c>
      <c r="T45" s="12">
        <f t="shared" si="8"/>
        <v>0</v>
      </c>
      <c r="X45" s="11"/>
    </row>
    <row r="46" spans="1:24" s="114" customFormat="1" ht="8.25" customHeight="1">
      <c r="A46" s="1086"/>
      <c r="C46" s="20"/>
      <c r="D46" s="12"/>
      <c r="E46" s="12"/>
      <c r="F46" s="12"/>
      <c r="G46" s="12"/>
      <c r="H46" s="12"/>
      <c r="I46" s="12"/>
      <c r="J46" s="12"/>
      <c r="K46" s="12"/>
      <c r="L46" s="12"/>
      <c r="M46" s="12"/>
      <c r="N46" s="12"/>
      <c r="O46" s="12"/>
      <c r="P46" s="12"/>
      <c r="Q46" s="12"/>
      <c r="R46" s="12"/>
      <c r="S46" s="12"/>
      <c r="T46" s="12"/>
      <c r="X46" s="349"/>
    </row>
    <row r="47" spans="1:24" ht="15" customHeight="1" thickBot="1">
      <c r="C47" s="20"/>
      <c r="D47" s="7"/>
      <c r="E47" s="7"/>
      <c r="F47" s="12"/>
      <c r="G47" s="12"/>
      <c r="H47" s="12"/>
      <c r="I47" s="12"/>
      <c r="J47" s="12"/>
      <c r="K47" s="12"/>
      <c r="L47" s="12"/>
      <c r="M47" s="12"/>
      <c r="N47" s="12"/>
      <c r="O47" s="12"/>
      <c r="P47" s="12"/>
      <c r="Q47" s="12"/>
      <c r="R47" s="12"/>
      <c r="S47" s="12"/>
      <c r="T47" s="12"/>
      <c r="X47" s="11"/>
    </row>
    <row r="48" spans="1:24" ht="15.75" thickBot="1">
      <c r="A48" s="1085" t="b">
        <v>0</v>
      </c>
      <c r="B48" s="13" t="str">
        <f>IF(A48=TRUE,"Yes","No")</f>
        <v>No</v>
      </c>
      <c r="C48" s="3" t="s">
        <v>418</v>
      </c>
      <c r="D48" s="7"/>
      <c r="E48" s="7"/>
      <c r="F48" s="12">
        <f>IF($B$48="Yes",'Gas Reserves Tax'!F2,0)</f>
        <v>0</v>
      </c>
      <c r="G48" s="12">
        <f>IF($B$48="Yes",'Gas Reserves Tax'!G2,0)</f>
        <v>0</v>
      </c>
      <c r="H48" s="12">
        <f>IF($B$48="Yes",'Gas Reserves Tax'!H2,0)</f>
        <v>0</v>
      </c>
      <c r="I48" s="12">
        <f>IF($B$48="Yes",'Gas Reserves Tax'!I2,0)</f>
        <v>0</v>
      </c>
      <c r="J48" s="12">
        <f>IF($B$48="Yes",'Gas Reserves Tax'!J2,0)</f>
        <v>0</v>
      </c>
      <c r="K48" s="12">
        <f>IF($B$48="Yes",'Gas Reserves Tax'!K2,0)</f>
        <v>0</v>
      </c>
      <c r="L48" s="12">
        <f>IF($B$48="Yes",'Gas Reserves Tax'!L2,0)</f>
        <v>0</v>
      </c>
      <c r="M48" s="12">
        <f>IF($B$48="Yes",'Gas Reserves Tax'!M2,0)</f>
        <v>0</v>
      </c>
      <c r="N48" s="12">
        <f>IF($B$48="Yes",'Gas Reserves Tax'!N2,0)</f>
        <v>0</v>
      </c>
      <c r="O48" s="12">
        <f>IF($B$48="Yes",'Gas Reserves Tax'!O2,0)</f>
        <v>0</v>
      </c>
      <c r="P48" s="12">
        <f>IF($B$48="Yes",'Gas Reserves Tax'!P2,0)</f>
        <v>0</v>
      </c>
      <c r="Q48" s="12">
        <f>IF($B$48="Yes",'Gas Reserves Tax'!Q2,0)</f>
        <v>0</v>
      </c>
      <c r="R48" s="12">
        <f>IF($B$48="Yes",'Gas Reserves Tax'!R2,0)</f>
        <v>0</v>
      </c>
      <c r="S48" s="12">
        <f>IF($B$48="Yes",'Gas Reserves Tax'!S2,0)</f>
        <v>0</v>
      </c>
      <c r="T48" s="12">
        <f>IF($B$48="Yes",'Gas Reserves Tax'!T2,0)</f>
        <v>0</v>
      </c>
      <c r="X48" s="11">
        <v>0.5</v>
      </c>
    </row>
    <row r="49" spans="1:24">
      <c r="C49" s="3"/>
      <c r="D49" s="7"/>
      <c r="E49" s="7"/>
      <c r="X49" s="11">
        <v>0.6</v>
      </c>
    </row>
    <row r="50" spans="1:24" ht="15" customHeight="1">
      <c r="C50" s="20"/>
      <c r="D50" s="7"/>
      <c r="E50" s="7"/>
      <c r="F50" s="12"/>
      <c r="G50" s="12"/>
      <c r="H50" s="12"/>
      <c r="I50" s="12"/>
      <c r="J50" s="12"/>
      <c r="K50" s="12"/>
      <c r="L50" s="12"/>
      <c r="M50" s="12"/>
      <c r="N50" s="12"/>
      <c r="O50" s="12"/>
      <c r="P50" s="12"/>
      <c r="Q50" s="12"/>
      <c r="R50" s="12"/>
      <c r="S50" s="12"/>
      <c r="T50" s="12"/>
      <c r="X50" s="11"/>
    </row>
    <row r="51" spans="1:24" ht="7.5" customHeight="1">
      <c r="C51" s="20"/>
      <c r="D51" s="20"/>
      <c r="E51" s="20"/>
      <c r="F51" s="20"/>
      <c r="G51" s="20"/>
      <c r="H51" s="20"/>
      <c r="I51" s="20"/>
      <c r="J51" s="20"/>
      <c r="K51" s="20"/>
      <c r="L51" s="20"/>
      <c r="M51" s="20"/>
      <c r="N51" s="20"/>
      <c r="O51" s="20"/>
      <c r="P51" s="20"/>
      <c r="Q51" s="20"/>
      <c r="R51" s="20"/>
      <c r="S51" s="20"/>
      <c r="T51" s="20"/>
      <c r="X51" s="11"/>
    </row>
    <row r="52" spans="1:24" ht="15" customHeight="1">
      <c r="C52" s="40" t="s">
        <v>287</v>
      </c>
      <c r="D52" s="20"/>
      <c r="E52" s="20"/>
      <c r="F52" s="20"/>
      <c r="G52" s="20"/>
      <c r="H52" s="20"/>
      <c r="I52" s="20"/>
      <c r="J52" s="20"/>
      <c r="K52" s="20"/>
      <c r="L52" s="20"/>
      <c r="M52" s="20"/>
      <c r="N52" s="20"/>
      <c r="O52" s="20"/>
      <c r="P52" s="20"/>
      <c r="Q52" s="20"/>
      <c r="R52" s="20"/>
      <c r="S52" s="20"/>
      <c r="T52" s="20"/>
    </row>
    <row r="53" spans="1:24" ht="15" customHeight="1">
      <c r="C53" s="268" t="s">
        <v>255</v>
      </c>
      <c r="D53" s="20"/>
      <c r="E53" s="20"/>
      <c r="F53" s="20"/>
      <c r="G53" s="20"/>
      <c r="H53" s="20"/>
      <c r="I53" s="20"/>
      <c r="J53" s="20"/>
      <c r="K53" s="20"/>
      <c r="L53" s="20"/>
      <c r="M53" s="20"/>
      <c r="N53" s="20"/>
      <c r="O53" s="20"/>
      <c r="P53" s="20"/>
      <c r="Q53" s="20"/>
      <c r="R53" s="20"/>
      <c r="S53" s="20"/>
      <c r="T53" s="20"/>
    </row>
    <row r="54" spans="1:24" ht="15" customHeight="1" thickBot="1">
      <c r="C54" s="19" t="s">
        <v>250</v>
      </c>
      <c r="D54" s="20"/>
      <c r="E54" s="20"/>
      <c r="F54" s="20"/>
      <c r="G54" s="20"/>
      <c r="H54" s="20"/>
      <c r="I54" s="20"/>
      <c r="J54" s="20"/>
      <c r="K54" s="20"/>
      <c r="L54" s="20"/>
      <c r="M54" s="20"/>
      <c r="N54" s="20"/>
      <c r="O54" s="20"/>
      <c r="P54" s="20"/>
      <c r="Q54" s="20"/>
      <c r="R54" s="20"/>
      <c r="S54" s="20"/>
      <c r="T54" s="20"/>
    </row>
    <row r="55" spans="1:24" ht="30" customHeight="1" thickBot="1">
      <c r="A55" s="1085" t="b">
        <v>0</v>
      </c>
      <c r="B55" s="13" t="str">
        <f>IF(A55=TRUE,"Yes","No")</f>
        <v>No</v>
      </c>
      <c r="C55" s="272" t="s">
        <v>249</v>
      </c>
      <c r="D55" s="7">
        <v>254</v>
      </c>
      <c r="E55" s="7">
        <f>'Credit Detail w Confidentiality'!K7</f>
        <v>339.9</v>
      </c>
      <c r="F55" s="12">
        <f>IF($B$55="Yes",'Credit Detail w Confidentiality'!L7+'Credits detail tables'!B4,0)</f>
        <v>0</v>
      </c>
      <c r="G55" s="12">
        <f>IF($B$55="Yes",'Credit Detail w Confidentiality'!M7+'Credits detail tables'!C4,0)</f>
        <v>0</v>
      </c>
      <c r="H55" s="12">
        <f>IF($B$55="Yes",'Credit Detail w Confidentiality'!N7+'Credits detail tables'!D4,0)</f>
        <v>0</v>
      </c>
      <c r="I55" s="12">
        <f>IF($B$55="Yes",'Credit Detail w Confidentiality'!O7+'Credits detail tables'!E4,0)</f>
        <v>0</v>
      </c>
      <c r="J55" s="12">
        <f>I55+IF($A$55,'Credits detail tables'!G4)</f>
        <v>0</v>
      </c>
      <c r="K55" s="12">
        <f>J55+IF($A$55,'Credits detail tables'!H4)</f>
        <v>0</v>
      </c>
      <c r="L55" s="12">
        <f>K55+IF($A$55,'Credits detail tables'!I4)</f>
        <v>0</v>
      </c>
      <c r="M55" s="12">
        <f>L55+IF($A$55,'Credits detail tables'!J4)</f>
        <v>0</v>
      </c>
      <c r="N55" s="12">
        <f>M55+IF($A$55,'Credits detail tables'!K4)</f>
        <v>0</v>
      </c>
      <c r="O55" s="12">
        <f>N55+IF($A$55,'Credits detail tables'!L4)</f>
        <v>0</v>
      </c>
      <c r="P55" s="12">
        <f>O55+IF($A$55,'Credits detail tables'!M4)</f>
        <v>0</v>
      </c>
      <c r="Q55" s="12">
        <f>P55+IF($A$55,'Credits detail tables'!N4)</f>
        <v>0</v>
      </c>
      <c r="R55" s="12">
        <f>Q55+IF($A$55,'Credits detail tables'!O4)</f>
        <v>0</v>
      </c>
      <c r="S55" s="12">
        <f>R55+IF($A$55,'Credits detail tables'!P4)</f>
        <v>0</v>
      </c>
      <c r="T55" s="12">
        <f>S55+IF($A$55,'Credits detail tables'!Q4)</f>
        <v>0</v>
      </c>
    </row>
    <row r="56" spans="1:24" ht="15" customHeight="1" thickBot="1">
      <c r="A56" s="1085" t="b">
        <v>0</v>
      </c>
      <c r="B56" s="13" t="str">
        <f>IF(A56=TRUE,"Yes","No")</f>
        <v>No</v>
      </c>
      <c r="C56" s="20" t="s">
        <v>284</v>
      </c>
      <c r="D56" s="7">
        <v>27.286802999999999</v>
      </c>
      <c r="E56" s="7">
        <v>0</v>
      </c>
      <c r="F56" s="12">
        <v>0</v>
      </c>
      <c r="G56" s="12">
        <v>0</v>
      </c>
      <c r="H56" s="12">
        <v>0</v>
      </c>
      <c r="I56" s="12">
        <v>0</v>
      </c>
      <c r="J56" s="12">
        <f>I56</f>
        <v>0</v>
      </c>
      <c r="K56" s="12">
        <f t="shared" ref="K56:T56" si="9">J56</f>
        <v>0</v>
      </c>
      <c r="L56" s="12">
        <f t="shared" si="9"/>
        <v>0</v>
      </c>
      <c r="M56" s="12">
        <f t="shared" si="9"/>
        <v>0</v>
      </c>
      <c r="N56" s="12">
        <f t="shared" si="9"/>
        <v>0</v>
      </c>
      <c r="O56" s="12">
        <f t="shared" si="9"/>
        <v>0</v>
      </c>
      <c r="P56" s="12">
        <f t="shared" si="9"/>
        <v>0</v>
      </c>
      <c r="Q56" s="12">
        <f t="shared" si="9"/>
        <v>0</v>
      </c>
      <c r="R56" s="12">
        <f t="shared" si="9"/>
        <v>0</v>
      </c>
      <c r="S56" s="12">
        <f t="shared" si="9"/>
        <v>0</v>
      </c>
      <c r="T56" s="12">
        <f t="shared" si="9"/>
        <v>0</v>
      </c>
    </row>
    <row r="57" spans="1:24" ht="15" customHeight="1">
      <c r="C57" s="19" t="s">
        <v>245</v>
      </c>
      <c r="D57" s="7">
        <v>281.28680300000002</v>
      </c>
      <c r="E57" s="7">
        <v>296.7989621595122</v>
      </c>
      <c r="F57" s="12">
        <f>SUM(F55:F56)</f>
        <v>0</v>
      </c>
      <c r="G57" s="12">
        <f t="shared" ref="G57:T57" si="10">SUM(G55:G56)</f>
        <v>0</v>
      </c>
      <c r="H57" s="12">
        <f t="shared" si="10"/>
        <v>0</v>
      </c>
      <c r="I57" s="12">
        <f t="shared" si="10"/>
        <v>0</v>
      </c>
      <c r="J57" s="12">
        <f t="shared" si="10"/>
        <v>0</v>
      </c>
      <c r="K57" s="12">
        <f t="shared" si="10"/>
        <v>0</v>
      </c>
      <c r="L57" s="12">
        <f t="shared" si="10"/>
        <v>0</v>
      </c>
      <c r="M57" s="12">
        <f t="shared" si="10"/>
        <v>0</v>
      </c>
      <c r="N57" s="12">
        <f t="shared" si="10"/>
        <v>0</v>
      </c>
      <c r="O57" s="12">
        <f t="shared" si="10"/>
        <v>0</v>
      </c>
      <c r="P57" s="12">
        <f t="shared" si="10"/>
        <v>0</v>
      </c>
      <c r="Q57" s="12">
        <f t="shared" si="10"/>
        <v>0</v>
      </c>
      <c r="R57" s="12">
        <f t="shared" si="10"/>
        <v>0</v>
      </c>
      <c r="S57" s="12">
        <f t="shared" si="10"/>
        <v>0</v>
      </c>
      <c r="T57" s="12">
        <f t="shared" si="10"/>
        <v>0</v>
      </c>
    </row>
    <row r="58" spans="1:24" ht="7.5" customHeight="1">
      <c r="C58" s="20"/>
      <c r="D58" s="20"/>
      <c r="E58" s="20"/>
      <c r="F58" s="20"/>
      <c r="G58" s="20"/>
      <c r="H58" s="20"/>
      <c r="I58" s="20"/>
      <c r="J58" s="20"/>
      <c r="K58" s="20"/>
      <c r="L58" s="20"/>
      <c r="M58" s="20"/>
      <c r="N58" s="20"/>
      <c r="O58" s="20"/>
      <c r="P58" s="20"/>
      <c r="Q58" s="20"/>
      <c r="R58" s="20"/>
      <c r="S58" s="20"/>
      <c r="T58" s="20"/>
    </row>
    <row r="59" spans="1:24" ht="15" customHeight="1" thickBot="1">
      <c r="C59" s="19" t="s">
        <v>244</v>
      </c>
      <c r="D59" s="20"/>
      <c r="E59" s="20"/>
      <c r="F59" s="20"/>
      <c r="G59" s="20"/>
      <c r="H59" s="20"/>
      <c r="I59" s="20"/>
      <c r="J59" s="20"/>
      <c r="K59" s="20"/>
      <c r="L59" s="20"/>
      <c r="M59" s="20"/>
      <c r="N59" s="20"/>
      <c r="O59" s="20"/>
      <c r="P59" s="20"/>
      <c r="Q59" s="20"/>
      <c r="R59" s="20"/>
      <c r="S59" s="20"/>
      <c r="T59" s="20"/>
    </row>
    <row r="60" spans="1:24" ht="28.5" customHeight="1" thickBot="1">
      <c r="A60" s="1085" t="b">
        <v>0</v>
      </c>
      <c r="B60" s="13" t="str">
        <f>IF(A60=TRUE,"Yes","No")</f>
        <v>No</v>
      </c>
      <c r="C60" s="272" t="s">
        <v>874</v>
      </c>
      <c r="D60" s="267" t="s">
        <v>236</v>
      </c>
      <c r="E60" s="1181">
        <v>279.53480000000002</v>
      </c>
      <c r="F60" s="12">
        <f>IF($B$60="Yes",'Credit Detail w Confidentiality'!L12*'Credits detail tables'!B23+'Credits detail tables'!B22,0)</f>
        <v>0</v>
      </c>
      <c r="G60" s="12">
        <f>IF($B$60="Yes",'Credit Detail w Confidentiality'!M12*'Credits detail tables'!C23+'Credits detail tables'!C22,0)</f>
        <v>0</v>
      </c>
      <c r="H60" s="12">
        <f>IF($B$60="Yes",'Credit Detail w Confidentiality'!N12*'Credits detail tables'!D23+'Credits detail tables'!D22,0)</f>
        <v>0</v>
      </c>
      <c r="I60" s="12">
        <f>IF($B$60="Yes",'Credit Detail w Confidentiality'!O12*'Credits detail tables'!E23+'Credits detail tables'!E22,0)</f>
        <v>0</v>
      </c>
      <c r="J60" s="12">
        <f>IF($B$60="Yes",'Credit Detail w Confidentiality'!P12*'Credits detail tables'!F23+'Credits detail tables'!F22,0)</f>
        <v>0</v>
      </c>
      <c r="K60" s="12">
        <f>IF($B$60="Yes",'Credit Detail w Confidentiality'!Q12*'Credits detail tables'!G23+'Credits detail tables'!G22,0)</f>
        <v>0</v>
      </c>
      <c r="L60" s="12">
        <f>IF($B$60="Yes",'Credit Detail w Confidentiality'!R12*'Credits detail tables'!H23+'Credits detail tables'!H22,0)</f>
        <v>0</v>
      </c>
      <c r="M60" s="12">
        <f>IF($B$60="Yes",'Credit Detail w Confidentiality'!S12*'Credits detail tables'!I23+'Credits detail tables'!I22,0)</f>
        <v>0</v>
      </c>
      <c r="N60" s="12">
        <f>IF($B$60="Yes",'Credit Detail w Confidentiality'!T12*'Credits detail tables'!J23+'Credits detail tables'!J22,0)</f>
        <v>0</v>
      </c>
      <c r="O60" s="12">
        <f>IF($B$60="Yes",'Credit Detail w Confidentiality'!U12*'Credits detail tables'!K23+'Credits detail tables'!K22,0)</f>
        <v>0</v>
      </c>
      <c r="P60" s="12">
        <f>IF($B$60="Yes",'Credit Detail w Confidentiality'!V12*'Credits detail tables'!L23+'Credits detail tables'!L22,0)</f>
        <v>0</v>
      </c>
      <c r="Q60" s="12">
        <f>IF($B$60="Yes",'Credit Detail w Confidentiality'!W12*'Credits detail tables'!M23+'Credits detail tables'!M22,0)</f>
        <v>0</v>
      </c>
      <c r="R60" s="12">
        <f>IF($B$60="Yes",'Credit Detail w Confidentiality'!X12*'Credits detail tables'!N23+'Credits detail tables'!N22,0)</f>
        <v>0</v>
      </c>
      <c r="S60" s="12">
        <f>IF($B$60="Yes",'Credit Detail w Confidentiality'!Y12*'Credits detail tables'!O23+'Credits detail tables'!O22,0)</f>
        <v>0</v>
      </c>
      <c r="T60" s="12">
        <f>IF($B$60="Yes",'Credit Detail w Confidentiality'!Z12*'Credits detail tables'!P23+'Credits detail tables'!P22,0)</f>
        <v>0</v>
      </c>
    </row>
    <row r="61" spans="1:24" ht="35.25" customHeight="1" thickBot="1">
      <c r="A61" s="1085" t="b">
        <v>0</v>
      </c>
      <c r="B61" s="13" t="str">
        <f>IF(A61=TRUE,"Yes","No")</f>
        <v>No</v>
      </c>
      <c r="C61" s="272" t="s">
        <v>876</v>
      </c>
      <c r="D61" s="267" t="s">
        <v>236</v>
      </c>
      <c r="E61" s="1181"/>
      <c r="F61" s="12">
        <f>IF($B$61="Yes",'Credit Detail w Confidentiality'!L12*'Credits detail tables'!B40+'Credits detail tables'!B39,0)</f>
        <v>0</v>
      </c>
      <c r="G61" s="12">
        <f>IF($B$61="Yes",'Credit Detail w Confidentiality'!M12*'Credits detail tables'!C40+'Credits detail tables'!C39,0)</f>
        <v>0</v>
      </c>
      <c r="H61" s="12">
        <f>IF($B$61="Yes",'Credit Detail w Confidentiality'!N12*'Credits detail tables'!D40+'Credits detail tables'!D39,0)</f>
        <v>0</v>
      </c>
      <c r="I61" s="12">
        <f>IF($B$61="Yes",'Credit Detail w Confidentiality'!O12*'Credits detail tables'!E40+'Credits detail tables'!E39,0)</f>
        <v>0</v>
      </c>
      <c r="J61" s="12">
        <f>IF($B$61="Yes",'Credit Detail w Confidentiality'!P12*'Credits detail tables'!F40+'Credits detail tables'!F39,0)</f>
        <v>0</v>
      </c>
      <c r="K61" s="12">
        <f>IF($B$61="Yes",'Credit Detail w Confidentiality'!Q12*'Credits detail tables'!G40+'Credits detail tables'!G39,0)</f>
        <v>0</v>
      </c>
      <c r="L61" s="12">
        <f>IF($B$61="Yes",'Credit Detail w Confidentiality'!R12*'Credits detail tables'!H40+'Credits detail tables'!H39,0)</f>
        <v>0</v>
      </c>
      <c r="M61" s="12">
        <f>IF($B$61="Yes",'Credit Detail w Confidentiality'!S12*'Credits detail tables'!I40+'Credits detail tables'!I39,0)</f>
        <v>0</v>
      </c>
      <c r="N61" s="12">
        <f>IF($B$61="Yes",'Credit Detail w Confidentiality'!T12*'Credits detail tables'!J40+'Credits detail tables'!J39,0)</f>
        <v>0</v>
      </c>
      <c r="O61" s="12">
        <f>IF($B$61="Yes",'Credit Detail w Confidentiality'!U12*'Credits detail tables'!K40+'Credits detail tables'!K39,0)</f>
        <v>0</v>
      </c>
      <c r="P61" s="12">
        <f>IF($B$61="Yes",'Credit Detail w Confidentiality'!V12*'Credits detail tables'!L40+'Credits detail tables'!L39,0)</f>
        <v>0</v>
      </c>
      <c r="Q61" s="12">
        <f>IF($B$61="Yes",'Credit Detail w Confidentiality'!W12*'Credits detail tables'!M40+'Credits detail tables'!M39,0)</f>
        <v>0</v>
      </c>
      <c r="R61" s="12">
        <f>IF($B$61="Yes",'Credit Detail w Confidentiality'!X12*'Credits detail tables'!N40+'Credits detail tables'!N39,0)</f>
        <v>0</v>
      </c>
      <c r="S61" s="12">
        <f>IF($B$61="Yes",'Credit Detail w Confidentiality'!Y12*'Credits detail tables'!O40+'Credits detail tables'!O39,0)</f>
        <v>0</v>
      </c>
      <c r="T61" s="12">
        <f>IF($B$61="Yes",'Credit Detail w Confidentiality'!Z12*'Credits detail tables'!P40+'Credits detail tables'!P39,0)</f>
        <v>0</v>
      </c>
    </row>
    <row r="62" spans="1:24" ht="15" customHeight="1" thickBot="1">
      <c r="A62" s="1085" t="b">
        <v>0</v>
      </c>
      <c r="B62" s="13" t="str">
        <f>IF(A62=TRUE,"Yes","No")</f>
        <v>No</v>
      </c>
      <c r="C62" s="20" t="s">
        <v>284</v>
      </c>
      <c r="D62" s="267" t="s">
        <v>236</v>
      </c>
      <c r="E62" s="7">
        <v>31</v>
      </c>
      <c r="F62" s="12">
        <f>IF($B$62="Yes",'Credit Detail w Confidentiality'!L13,0)</f>
        <v>0</v>
      </c>
      <c r="G62" s="12">
        <f>IF($B$62="Yes",'Credit Detail w Confidentiality'!M13,0)</f>
        <v>0</v>
      </c>
      <c r="H62" s="12">
        <f>IF($B$62="Yes",'Credit Detail w Confidentiality'!N13,0)</f>
        <v>0</v>
      </c>
      <c r="I62" s="12">
        <f>IF($B$62="Yes",'Credit Detail w Confidentiality'!O13,0)</f>
        <v>0</v>
      </c>
      <c r="J62" s="12">
        <f t="shared" ref="J62:T62" si="11">I62</f>
        <v>0</v>
      </c>
      <c r="K62" s="12">
        <f t="shared" si="11"/>
        <v>0</v>
      </c>
      <c r="L62" s="12">
        <f t="shared" si="11"/>
        <v>0</v>
      </c>
      <c r="M62" s="12">
        <f t="shared" si="11"/>
        <v>0</v>
      </c>
      <c r="N62" s="12">
        <f t="shared" si="11"/>
        <v>0</v>
      </c>
      <c r="O62" s="12">
        <f t="shared" si="11"/>
        <v>0</v>
      </c>
      <c r="P62" s="12">
        <f t="shared" si="11"/>
        <v>0</v>
      </c>
      <c r="Q62" s="12">
        <f t="shared" si="11"/>
        <v>0</v>
      </c>
      <c r="R62" s="12">
        <f t="shared" si="11"/>
        <v>0</v>
      </c>
      <c r="S62" s="12">
        <f t="shared" si="11"/>
        <v>0</v>
      </c>
      <c r="T62" s="12">
        <f t="shared" si="11"/>
        <v>0</v>
      </c>
    </row>
    <row r="63" spans="1:24" ht="15" customHeight="1" thickBot="1">
      <c r="A63" s="1085" t="b">
        <v>0</v>
      </c>
      <c r="B63" s="13" t="str">
        <f>IF(A63=TRUE,"Yes","No")</f>
        <v>No</v>
      </c>
      <c r="C63" s="20" t="s">
        <v>285</v>
      </c>
      <c r="D63" s="267" t="s">
        <v>236</v>
      </c>
      <c r="E63" s="308">
        <v>0</v>
      </c>
      <c r="F63" s="309">
        <f>IF($B$63="Yes",'Credit Detail w Confidentiality'!L14,0)</f>
        <v>0</v>
      </c>
      <c r="G63" s="309">
        <f>IF($B$63="Yes",'Credit Detail w Confidentiality'!M14,0)</f>
        <v>0</v>
      </c>
      <c r="H63" s="309">
        <f>IF($B$63="Yes",'Credit Detail w Confidentiality'!N14,0)</f>
        <v>0</v>
      </c>
      <c r="I63" s="309">
        <f>IF($B$63="Yes",'Credit Detail w Confidentiality'!O14,0)</f>
        <v>0</v>
      </c>
      <c r="J63" s="309">
        <f t="shared" ref="J63:T63" si="12">I63</f>
        <v>0</v>
      </c>
      <c r="K63" s="309">
        <f t="shared" si="12"/>
        <v>0</v>
      </c>
      <c r="L63" s="309">
        <f t="shared" si="12"/>
        <v>0</v>
      </c>
      <c r="M63" s="309">
        <f t="shared" si="12"/>
        <v>0</v>
      </c>
      <c r="N63" s="309">
        <f t="shared" si="12"/>
        <v>0</v>
      </c>
      <c r="O63" s="309">
        <f t="shared" si="12"/>
        <v>0</v>
      </c>
      <c r="P63" s="309">
        <f t="shared" si="12"/>
        <v>0</v>
      </c>
      <c r="Q63" s="309">
        <f t="shared" si="12"/>
        <v>0</v>
      </c>
      <c r="R63" s="309">
        <f t="shared" si="12"/>
        <v>0</v>
      </c>
      <c r="S63" s="309">
        <f t="shared" si="12"/>
        <v>0</v>
      </c>
      <c r="T63" s="309">
        <f t="shared" si="12"/>
        <v>0</v>
      </c>
    </row>
    <row r="64" spans="1:24" ht="15" customHeight="1">
      <c r="C64" s="19" t="s">
        <v>253</v>
      </c>
      <c r="D64" s="7">
        <v>312</v>
      </c>
      <c r="E64" s="7">
        <v>310.53480000000002</v>
      </c>
      <c r="F64" s="12">
        <f>SUM(F60:F63)</f>
        <v>0</v>
      </c>
      <c r="G64" s="12">
        <f t="shared" ref="G64:T64" si="13">SUM(G60:G63)</f>
        <v>0</v>
      </c>
      <c r="H64" s="12">
        <f t="shared" si="13"/>
        <v>0</v>
      </c>
      <c r="I64" s="12">
        <f t="shared" si="13"/>
        <v>0</v>
      </c>
      <c r="J64" s="12">
        <f t="shared" si="13"/>
        <v>0</v>
      </c>
      <c r="K64" s="12">
        <f t="shared" si="13"/>
        <v>0</v>
      </c>
      <c r="L64" s="12">
        <f t="shared" si="13"/>
        <v>0</v>
      </c>
      <c r="M64" s="12">
        <f t="shared" si="13"/>
        <v>0</v>
      </c>
      <c r="N64" s="12">
        <f t="shared" si="13"/>
        <v>0</v>
      </c>
      <c r="O64" s="12">
        <f t="shared" si="13"/>
        <v>0</v>
      </c>
      <c r="P64" s="12">
        <f t="shared" si="13"/>
        <v>0</v>
      </c>
      <c r="Q64" s="12">
        <f t="shared" si="13"/>
        <v>0</v>
      </c>
      <c r="R64" s="12">
        <f t="shared" si="13"/>
        <v>0</v>
      </c>
      <c r="S64" s="12">
        <f t="shared" si="13"/>
        <v>0</v>
      </c>
      <c r="T64" s="12">
        <f t="shared" si="13"/>
        <v>0</v>
      </c>
    </row>
    <row r="65" spans="1:20" ht="7.5" customHeight="1">
      <c r="C65" s="20"/>
      <c r="D65" s="12"/>
      <c r="E65" s="12"/>
      <c r="F65" s="12"/>
      <c r="G65" s="12"/>
      <c r="H65" s="12"/>
      <c r="I65" s="12"/>
      <c r="J65" s="12"/>
      <c r="K65" s="12"/>
      <c r="L65" s="12"/>
      <c r="M65" s="12"/>
      <c r="N65" s="12"/>
      <c r="O65" s="12"/>
      <c r="P65" s="12"/>
      <c r="Q65" s="12"/>
      <c r="R65" s="12"/>
      <c r="S65" s="12"/>
      <c r="T65" s="12"/>
    </row>
    <row r="66" spans="1:20" ht="15" customHeight="1">
      <c r="C66" s="268" t="s">
        <v>252</v>
      </c>
      <c r="D66" s="7">
        <v>593.28680299999996</v>
      </c>
      <c r="E66" s="7">
        <v>625</v>
      </c>
      <c r="F66" s="12">
        <f>F64+F57</f>
        <v>0</v>
      </c>
      <c r="G66" s="12">
        <f t="shared" ref="G66:T66" si="14">G64+G57</f>
        <v>0</v>
      </c>
      <c r="H66" s="12">
        <f t="shared" si="14"/>
        <v>0</v>
      </c>
      <c r="I66" s="12">
        <f t="shared" si="14"/>
        <v>0</v>
      </c>
      <c r="J66" s="12">
        <f t="shared" si="14"/>
        <v>0</v>
      </c>
      <c r="K66" s="12">
        <f t="shared" si="14"/>
        <v>0</v>
      </c>
      <c r="L66" s="12">
        <f t="shared" si="14"/>
        <v>0</v>
      </c>
      <c r="M66" s="12">
        <f t="shared" si="14"/>
        <v>0</v>
      </c>
      <c r="N66" s="12">
        <f t="shared" si="14"/>
        <v>0</v>
      </c>
      <c r="O66" s="12">
        <f t="shared" si="14"/>
        <v>0</v>
      </c>
      <c r="P66" s="12">
        <f t="shared" si="14"/>
        <v>0</v>
      </c>
      <c r="Q66" s="12">
        <f t="shared" si="14"/>
        <v>0</v>
      </c>
      <c r="R66" s="12">
        <f t="shared" si="14"/>
        <v>0</v>
      </c>
      <c r="S66" s="12">
        <f t="shared" si="14"/>
        <v>0</v>
      </c>
      <c r="T66" s="12">
        <f t="shared" si="14"/>
        <v>0</v>
      </c>
    </row>
    <row r="67" spans="1:20" ht="7.5" customHeight="1">
      <c r="C67" s="20"/>
      <c r="D67" s="12"/>
      <c r="E67" s="12"/>
      <c r="F67" s="12"/>
      <c r="G67" s="12"/>
      <c r="H67" s="12"/>
      <c r="I67" s="12"/>
      <c r="J67" s="12"/>
      <c r="K67" s="12"/>
      <c r="L67" s="12"/>
      <c r="M67" s="12"/>
      <c r="N67" s="12"/>
      <c r="O67" s="12"/>
      <c r="P67" s="12"/>
      <c r="Q67" s="12"/>
      <c r="R67" s="12"/>
      <c r="S67" s="12"/>
      <c r="T67" s="12"/>
    </row>
    <row r="68" spans="1:20" ht="15" customHeight="1">
      <c r="C68" s="268" t="s">
        <v>277</v>
      </c>
      <c r="D68" s="12"/>
      <c r="E68" s="12"/>
      <c r="F68" s="12"/>
      <c r="G68" s="12"/>
      <c r="H68" s="12"/>
      <c r="I68" s="12"/>
      <c r="J68" s="12"/>
      <c r="K68" s="12"/>
      <c r="L68" s="12"/>
      <c r="M68" s="12"/>
      <c r="N68" s="12"/>
      <c r="O68" s="12"/>
      <c r="P68" s="12"/>
      <c r="Q68" s="12"/>
      <c r="R68" s="12"/>
      <c r="S68" s="12"/>
      <c r="T68" s="12"/>
    </row>
    <row r="69" spans="1:20" ht="15" customHeight="1">
      <c r="C69" s="19" t="s">
        <v>250</v>
      </c>
      <c r="D69" s="12"/>
      <c r="E69" s="12"/>
      <c r="F69" s="12"/>
      <c r="G69" s="12"/>
      <c r="H69" s="12"/>
      <c r="I69" s="12"/>
      <c r="J69" s="12"/>
      <c r="K69" s="12"/>
      <c r="L69" s="12"/>
      <c r="M69" s="12"/>
      <c r="N69" s="12"/>
      <c r="O69" s="12"/>
      <c r="P69" s="12"/>
      <c r="Q69" s="12"/>
      <c r="R69" s="12"/>
      <c r="S69" s="12"/>
      <c r="T69" s="12"/>
    </row>
    <row r="70" spans="1:20" ht="30" customHeight="1">
      <c r="C70" s="272" t="s">
        <v>874</v>
      </c>
      <c r="D70" s="7">
        <v>331.9</v>
      </c>
      <c r="E70" s="7">
        <v>0</v>
      </c>
      <c r="F70" s="12">
        <v>0</v>
      </c>
      <c r="G70" s="12">
        <v>0</v>
      </c>
      <c r="H70" s="12">
        <v>0</v>
      </c>
      <c r="I70" s="12">
        <v>0</v>
      </c>
      <c r="J70" s="12">
        <f t="shared" ref="J70:T70" si="15">I70</f>
        <v>0</v>
      </c>
      <c r="K70" s="12">
        <f t="shared" si="15"/>
        <v>0</v>
      </c>
      <c r="L70" s="12">
        <f t="shared" si="15"/>
        <v>0</v>
      </c>
      <c r="M70" s="12">
        <f t="shared" si="15"/>
        <v>0</v>
      </c>
      <c r="N70" s="12">
        <f t="shared" si="15"/>
        <v>0</v>
      </c>
      <c r="O70" s="12">
        <f t="shared" si="15"/>
        <v>0</v>
      </c>
      <c r="P70" s="12">
        <f t="shared" si="15"/>
        <v>0</v>
      </c>
      <c r="Q70" s="12">
        <f t="shared" si="15"/>
        <v>0</v>
      </c>
      <c r="R70" s="12">
        <f t="shared" si="15"/>
        <v>0</v>
      </c>
      <c r="S70" s="12">
        <f t="shared" si="15"/>
        <v>0</v>
      </c>
      <c r="T70" s="12">
        <f t="shared" si="15"/>
        <v>0</v>
      </c>
    </row>
    <row r="71" spans="1:20" ht="15" customHeight="1" thickBot="1">
      <c r="C71" s="20" t="s">
        <v>276</v>
      </c>
      <c r="D71" s="7"/>
      <c r="E71" s="7"/>
      <c r="F71" s="7"/>
      <c r="G71" s="7"/>
      <c r="H71" s="7"/>
      <c r="I71" s="7"/>
      <c r="J71" s="7"/>
      <c r="K71" s="7"/>
      <c r="L71" s="7"/>
      <c r="M71" s="7"/>
      <c r="N71" s="7"/>
      <c r="O71" s="7"/>
      <c r="P71" s="7"/>
      <c r="Q71" s="7"/>
      <c r="R71" s="7"/>
      <c r="S71" s="7"/>
      <c r="T71" s="7"/>
    </row>
    <row r="72" spans="1:20" ht="15" customHeight="1" thickBot="1">
      <c r="A72" s="1085" t="b">
        <v>0</v>
      </c>
      <c r="B72" s="13" t="str">
        <f>IF(A72=FALSE,"Yes","No")</f>
        <v>Yes</v>
      </c>
      <c r="C72" s="20" t="s">
        <v>275</v>
      </c>
      <c r="D72" s="7">
        <v>492</v>
      </c>
      <c r="E72" s="7">
        <v>668.44164877493472</v>
      </c>
      <c r="F72" s="12">
        <f>IF(F36+F37&lt;F41+F40,0,IF($B$72="Yes",'Credit Detail w Confidentiality'!L24+'Credits detail tables'!B75,0))*$B$73</f>
        <v>693.19999999999993</v>
      </c>
      <c r="G72" s="12">
        <f>IF(G36+G37&lt;G41+G40,0,IF($B$72="Yes",'Credit Detail w Confidentiality'!M24+'Credits detail tables'!C75,0))*$B$73</f>
        <v>802.60000000000014</v>
      </c>
      <c r="H72" s="12">
        <f>IF(H36+H37&lt;H41+H40,0,IF($B$72="Yes",'Credit Detail w Confidentiality'!N24+'Credits detail tables'!D75,0))*$B$73</f>
        <v>720.8</v>
      </c>
      <c r="I72" s="12">
        <f>IF(I36+I37&lt;I41+I40,0,IF($B$72="Yes",'Credit Detail w Confidentiality'!O24+'Credits detail tables'!E75,0))*$B$73</f>
        <v>644.20000000000005</v>
      </c>
      <c r="J72" s="12">
        <f>IF(J36+J37&lt;J41+J40,0,IF($B$72="Yes",'Credit Detail w Confidentiality'!P24+'Credits detail tables'!F75,0))*$B$73</f>
        <v>606.1</v>
      </c>
      <c r="K72" s="12">
        <f>IF(K36+K37&lt;K41+K40,0,IF($B$72="Yes",'Credit Detail w Confidentiality'!Q24+'Credits detail tables'!G75,0))*$B$73</f>
        <v>411.6</v>
      </c>
      <c r="L72" s="12">
        <f>IF(L36+L37&lt;L41+L40,0,IF($B$72="Yes",'Credit Detail w Confidentiality'!R24+'Credits detail tables'!H75,0))*$B$73</f>
        <v>325.79999999999995</v>
      </c>
      <c r="M72" s="12">
        <f>IF(M36+M37&lt;M41+M40,0,IF($B$72="Yes",'Credit Detail w Confidentiality'!S24+'Credits detail tables'!I75,0))*$B$73</f>
        <v>280.20000000000005</v>
      </c>
      <c r="N72" s="12">
        <f>IF(N36+N37&lt;N41+N40,0,IF($B$72="Yes",'Credit Detail w Confidentiality'!T24+'Credits detail tables'!J75,0))*$B$73</f>
        <v>208.3</v>
      </c>
      <c r="O72" s="12">
        <f>IF(O36+O37&lt;O41+O40,0,IF($B$72="Yes",'Credit Detail w Confidentiality'!U24+'Credits detail tables'!K75,0))*$B$73</f>
        <v>162</v>
      </c>
      <c r="P72" s="12">
        <f>IF(P36+P37&lt;P41+P40,0,IF($B$72="Yes",'Credit Detail w Confidentiality'!V24+'Credits detail tables'!L75,0))*$B$73</f>
        <v>88.199999999999989</v>
      </c>
      <c r="Q72" s="12">
        <f>IF(Q36+Q37&lt;Q41+Q40,0,IF($B$72="Yes",'Credit Detail w Confidentiality'!W24+'Credits detail tables'!M75,0))*$B$73</f>
        <v>62</v>
      </c>
      <c r="R72" s="12">
        <f>IF(R36+R37&lt;R41+R40,0,IF($B$72="Yes",'Credit Detail w Confidentiality'!X24+'Credits detail tables'!N75,0))*$B$73</f>
        <v>40.800000000000011</v>
      </c>
      <c r="S72" s="12">
        <f>IF(S36+S37&lt;S41+S40,0,IF($B$72="Yes",'Credit Detail w Confidentiality'!Y24+'Credits detail tables'!O75,0))*$B$73</f>
        <v>20.5</v>
      </c>
      <c r="T72" s="12">
        <f>IF(T36+T37&lt;T41+T40,0,IF($B$72="Yes",'Credit Detail w Confidentiality'!Z24+'Credits detail tables'!P75,0))*$B$73</f>
        <v>14.199999999999989</v>
      </c>
    </row>
    <row r="73" spans="1:20" ht="15" customHeight="1" thickBot="1">
      <c r="A73" s="1085" t="b">
        <v>0</v>
      </c>
      <c r="B73" s="13">
        <f>1-N(A73)*0.5</f>
        <v>1</v>
      </c>
      <c r="C73" s="20" t="s">
        <v>830</v>
      </c>
      <c r="D73" s="7"/>
      <c r="E73" s="7"/>
      <c r="F73" s="12"/>
      <c r="G73" s="12"/>
      <c r="H73" s="12"/>
      <c r="I73" s="12"/>
      <c r="J73" s="12"/>
      <c r="K73" s="12"/>
      <c r="L73" s="12"/>
      <c r="M73" s="12"/>
      <c r="N73" s="12"/>
      <c r="O73" s="12"/>
      <c r="P73" s="12"/>
      <c r="Q73" s="12"/>
      <c r="R73" s="12"/>
      <c r="S73" s="12"/>
      <c r="T73" s="12"/>
    </row>
    <row r="74" spans="1:20" ht="15" customHeight="1" thickBot="1">
      <c r="A74" s="1085" t="b">
        <v>0</v>
      </c>
      <c r="B74" s="13" t="str">
        <f>IF(A74=FALSE,"Yes","No")</f>
        <v>Yes</v>
      </c>
      <c r="C74" s="20" t="s">
        <v>242</v>
      </c>
      <c r="D74" s="7">
        <v>44</v>
      </c>
      <c r="E74" s="7">
        <v>55.324626175952844</v>
      </c>
      <c r="F74" s="12">
        <f>IF($B$74="Yes",'Credit Detail w Confidentiality'!L25+'Credits detail tables'!B92,0)</f>
        <v>59.9</v>
      </c>
      <c r="G74" s="12">
        <f>IF($B$74="Yes",'Credit Detail w Confidentiality'!M25+'Credits detail tables'!C92,0)</f>
        <v>53.5</v>
      </c>
      <c r="H74" s="12">
        <f>IF($B$74="Yes",'Credit Detail w Confidentiality'!N25+'Credits detail tables'!D92,0)</f>
        <v>43</v>
      </c>
      <c r="I74" s="12">
        <f>IF($B$74="Yes",'Credit Detail w Confidentiality'!O25+'Credits detail tables'!E92,0)</f>
        <v>46.6</v>
      </c>
      <c r="J74" s="12">
        <f>IF($B$74="Yes",'Credit Detail w Confidentiality'!P25+'Credits detail tables'!F92,0)</f>
        <v>28.4</v>
      </c>
      <c r="K74" s="12">
        <f>IF($B$74="Yes",'Credit Detail w Confidentiality'!Q25+'Credits detail tables'!G92,0)</f>
        <v>22.299999999999997</v>
      </c>
      <c r="L74" s="12">
        <f>IF($B$74="Yes",'Credit Detail w Confidentiality'!R25+'Credits detail tables'!H92,0)</f>
        <v>15.899999999999999</v>
      </c>
      <c r="M74" s="12">
        <f>IF($B$74="Yes",'Credit Detail w Confidentiality'!S25+'Credits detail tables'!I92,0)</f>
        <v>9.6000000000000014</v>
      </c>
      <c r="N74" s="12">
        <f>IF($B$74="Yes",'Credit Detail w Confidentiality'!T25+'Credits detail tables'!J92,0)</f>
        <v>3</v>
      </c>
      <c r="O74" s="12">
        <f>IF($B$74="Yes",'Credit Detail w Confidentiality'!U25+'Credits detail tables'!K92,0)</f>
        <v>0</v>
      </c>
      <c r="P74" s="12">
        <f>IF($B$74="Yes",'Credit Detail w Confidentiality'!V25+'Credits detail tables'!L92,0)</f>
        <v>0</v>
      </c>
      <c r="Q74" s="12">
        <f>IF($B$74="Yes",'Credit Detail w Confidentiality'!W25+'Credits detail tables'!M92,0)</f>
        <v>0</v>
      </c>
      <c r="R74" s="12">
        <f>IF($B$74="Yes",'Credit Detail w Confidentiality'!X25+'Credits detail tables'!N92,0)</f>
        <v>0</v>
      </c>
      <c r="S74" s="12">
        <f>IF($B$74="Yes",'Credit Detail w Confidentiality'!Y25+'Credits detail tables'!O92,0)</f>
        <v>0</v>
      </c>
      <c r="T74" s="12">
        <f>IF($B$74="Yes",'Credit Detail w Confidentiality'!Z25+'Credits detail tables'!P92,0)</f>
        <v>0</v>
      </c>
    </row>
    <row r="75" spans="1:20" ht="15" customHeight="1">
      <c r="B75" s="20"/>
      <c r="C75" s="20" t="s">
        <v>284</v>
      </c>
      <c r="D75" s="7">
        <v>3.2</v>
      </c>
      <c r="E75" s="308">
        <v>0</v>
      </c>
      <c r="F75" s="309">
        <f>IF($B$74="Yes",'Credit Detail w Confidentiality'!L26,0)</f>
        <v>0</v>
      </c>
      <c r="G75" s="309">
        <f>IF($B$74="Yes",'Credit Detail w Confidentiality'!M26,0)</f>
        <v>0</v>
      </c>
      <c r="H75" s="309">
        <f>IF($B$74="Yes",'Credit Detail w Confidentiality'!N26,0)</f>
        <v>0</v>
      </c>
      <c r="I75" s="309">
        <f>IF($B$74="Yes",'Credit Detail w Confidentiality'!O26,0)</f>
        <v>0</v>
      </c>
      <c r="J75" s="309">
        <f>I75</f>
        <v>0</v>
      </c>
      <c r="K75" s="309">
        <f t="shared" ref="K75:T75" si="16">J75</f>
        <v>0</v>
      </c>
      <c r="L75" s="309">
        <f t="shared" si="16"/>
        <v>0</v>
      </c>
      <c r="M75" s="309">
        <f t="shared" si="16"/>
        <v>0</v>
      </c>
      <c r="N75" s="309">
        <f t="shared" si="16"/>
        <v>0</v>
      </c>
      <c r="O75" s="309">
        <f t="shared" si="16"/>
        <v>0</v>
      </c>
      <c r="P75" s="309">
        <f t="shared" si="16"/>
        <v>0</v>
      </c>
      <c r="Q75" s="309">
        <f t="shared" si="16"/>
        <v>0</v>
      </c>
      <c r="R75" s="309">
        <f t="shared" si="16"/>
        <v>0</v>
      </c>
      <c r="S75" s="309">
        <f t="shared" si="16"/>
        <v>0</v>
      </c>
      <c r="T75" s="309">
        <f t="shared" si="16"/>
        <v>0</v>
      </c>
    </row>
    <row r="76" spans="1:20" ht="15" customHeight="1">
      <c r="B76" s="20"/>
      <c r="C76" s="19" t="s">
        <v>245</v>
      </c>
      <c r="D76" s="7">
        <v>870</v>
      </c>
      <c r="E76" s="7">
        <v>723.76627495088758</v>
      </c>
      <c r="F76" s="12">
        <f>SUM(F70:F75)</f>
        <v>753.09999999999991</v>
      </c>
      <c r="G76" s="12">
        <f t="shared" ref="G76:T76" si="17">SUM(G70:G75)</f>
        <v>856.10000000000014</v>
      </c>
      <c r="H76" s="12">
        <f t="shared" si="17"/>
        <v>763.8</v>
      </c>
      <c r="I76" s="12">
        <f t="shared" si="17"/>
        <v>690.80000000000007</v>
      </c>
      <c r="J76" s="12">
        <f t="shared" si="17"/>
        <v>634.5</v>
      </c>
      <c r="K76" s="12">
        <f t="shared" si="17"/>
        <v>433.90000000000003</v>
      </c>
      <c r="L76" s="12">
        <f t="shared" si="17"/>
        <v>341.69999999999993</v>
      </c>
      <c r="M76" s="12">
        <f t="shared" si="17"/>
        <v>289.80000000000007</v>
      </c>
      <c r="N76" s="12">
        <f t="shared" si="17"/>
        <v>211.3</v>
      </c>
      <c r="O76" s="12">
        <f t="shared" si="17"/>
        <v>162</v>
      </c>
      <c r="P76" s="12">
        <f t="shared" si="17"/>
        <v>88.199999999999989</v>
      </c>
      <c r="Q76" s="12">
        <f t="shared" si="17"/>
        <v>62</v>
      </c>
      <c r="R76" s="12">
        <f t="shared" si="17"/>
        <v>40.800000000000011</v>
      </c>
      <c r="S76" s="12">
        <f t="shared" si="17"/>
        <v>20.5</v>
      </c>
      <c r="T76" s="12">
        <f t="shared" si="17"/>
        <v>14.199999999999989</v>
      </c>
    </row>
    <row r="77" spans="1:20" ht="20.25" customHeight="1">
      <c r="A77" s="1087"/>
      <c r="B77" s="20"/>
      <c r="C77" s="20"/>
      <c r="D77" s="12"/>
      <c r="E77" s="12"/>
      <c r="G77" s="12"/>
      <c r="H77" s="12"/>
      <c r="I77" s="12"/>
      <c r="J77" s="12"/>
      <c r="K77" s="12"/>
      <c r="L77" s="12"/>
      <c r="M77" s="12"/>
      <c r="N77" s="12"/>
      <c r="O77" s="12"/>
      <c r="P77" s="12"/>
      <c r="Q77" s="12"/>
      <c r="R77" s="12"/>
      <c r="S77" s="12"/>
      <c r="T77" s="12"/>
    </row>
    <row r="78" spans="1:20" ht="15" customHeight="1" thickBot="1">
      <c r="B78" s="20"/>
      <c r="C78" s="19" t="s">
        <v>244</v>
      </c>
      <c r="D78" s="12"/>
      <c r="E78" s="12"/>
      <c r="F78" s="12"/>
      <c r="G78" s="12"/>
      <c r="H78" s="12"/>
      <c r="I78" s="12"/>
      <c r="J78" s="12"/>
      <c r="K78" s="12"/>
      <c r="L78" s="12"/>
      <c r="M78" s="12"/>
      <c r="N78" s="12"/>
      <c r="O78" s="12"/>
      <c r="P78" s="12"/>
      <c r="Q78" s="12"/>
      <c r="R78" s="12"/>
      <c r="S78" s="12"/>
      <c r="T78" s="12"/>
    </row>
    <row r="79" spans="1:20" ht="45" customHeight="1" thickBot="1">
      <c r="A79" s="1085" t="b">
        <v>0</v>
      </c>
      <c r="B79" s="13" t="str">
        <f>IF(A79=FALSE,"Yes","No")</f>
        <v>Yes</v>
      </c>
      <c r="C79" s="272" t="s">
        <v>243</v>
      </c>
      <c r="D79" s="7"/>
      <c r="E79" s="12">
        <f>IF($B$79="Yes",'Credit Detail w Confidentiality'!K30,0)</f>
        <v>8.7896127660965355</v>
      </c>
      <c r="F79" s="12">
        <f>IF($B$79="Yes",'Credit Detail w Confidentiality'!L30+'Credits detail tables'!B109,0)</f>
        <v>10</v>
      </c>
      <c r="G79" s="12">
        <f>IF($B$79="Yes",'Credit Detail w Confidentiality'!M30+'Credits detail tables'!C109,0)</f>
        <v>10</v>
      </c>
      <c r="H79" s="12">
        <f>IF($B$79="Yes",'Credit Detail w Confidentiality'!N30+'Credits detail tables'!D109,0)</f>
        <v>10</v>
      </c>
      <c r="I79" s="12">
        <f>IF($B$79="Yes",'Credit Detail w Confidentiality'!O30+'Credits detail tables'!E109,0)</f>
        <v>10</v>
      </c>
      <c r="J79" s="12">
        <f>IF($B$79="Yes",'Credit Detail w Confidentiality'!P30+'Credits detail tables'!F109,0)</f>
        <v>10</v>
      </c>
      <c r="K79" s="12">
        <f>IF($B$79="Yes",'Credit Detail w Confidentiality'!Q30+'Credits detail tables'!G109,0)</f>
        <v>10</v>
      </c>
      <c r="L79" s="12">
        <f>IF($B$79="Yes",'Credit Detail w Confidentiality'!R30+'Credits detail tables'!H109,0)</f>
        <v>10</v>
      </c>
      <c r="M79" s="12">
        <f>IF($B$79="Yes",'Credit Detail w Confidentiality'!S30+'Credits detail tables'!I109,0)</f>
        <v>10</v>
      </c>
      <c r="N79" s="12">
        <f>IF($B$79="Yes",'Credit Detail w Confidentiality'!T30+'Credits detail tables'!J109,0)</f>
        <v>10.9992</v>
      </c>
      <c r="O79" s="12">
        <f>IF($B$79="Yes",'Credit Detail w Confidentiality'!U30+'Credits detail tables'!K109,0)</f>
        <v>11.589700000000001</v>
      </c>
      <c r="P79" s="12">
        <f>IF($B$79="Yes",'Credit Detail w Confidentiality'!V30+'Credits detail tables'!L109,0)</f>
        <v>12.3011</v>
      </c>
      <c r="Q79" s="12">
        <f>IF($B$79="Yes",'Credit Detail w Confidentiality'!W30+'Credits detail tables'!M109,0)</f>
        <v>7.9956999999999994</v>
      </c>
      <c r="R79" s="12">
        <f>IF($B$79="Yes",'Credit Detail w Confidentiality'!X30+'Credits detail tables'!N109,0)</f>
        <v>8.7470999999999997</v>
      </c>
      <c r="S79" s="12">
        <f>IF($B$79="Yes",'Credit Detail w Confidentiality'!Y30+'Credits detail tables'!O109,0)</f>
        <v>9.3302999999999994</v>
      </c>
      <c r="T79" s="12">
        <f>IF($B$79="Yes",'Credit Detail w Confidentiality'!Z30+'Credits detail tables'!P109,0)</f>
        <v>9.9754000000000005</v>
      </c>
    </row>
    <row r="80" spans="1:20" ht="22.5" customHeight="1" thickBot="1">
      <c r="A80" s="1085" t="b">
        <v>0</v>
      </c>
      <c r="B80" s="13" t="str">
        <f>IF(A80=FALSE,"Yes","No")</f>
        <v>Yes</v>
      </c>
      <c r="C80" s="20" t="s">
        <v>242</v>
      </c>
      <c r="D80" s="7"/>
      <c r="E80" s="310">
        <f>IF($B$80="Yes",'Credit Detail w Confidentiality'!K31,0)</f>
        <v>8.25</v>
      </c>
      <c r="F80" s="310">
        <f>IF($B$80="Yes",'Credit Detail w Confidentiality'!L31+'Credits detail tables'!B126,0)</f>
        <v>5</v>
      </c>
      <c r="G80" s="310">
        <f>IF($B$80="Yes",'Credit Detail w Confidentiality'!M31+'Credits detail tables'!C126,0)</f>
        <v>5</v>
      </c>
      <c r="H80" s="310">
        <f>IF($B$80="Yes",'Credit Detail w Confidentiality'!N31+'Credits detail tables'!D126,0)</f>
        <v>5</v>
      </c>
      <c r="I80" s="310">
        <f>IF($B$80="Yes",'Credit Detail w Confidentiality'!O31+'Credits detail tables'!E126,0)</f>
        <v>5</v>
      </c>
      <c r="J80" s="310">
        <f>IF($B$80="Yes",'Credit Detail w Confidentiality'!P31+'Credits detail tables'!F126,0)</f>
        <v>5</v>
      </c>
      <c r="K80" s="310">
        <f>IF($B$80="Yes",'Credit Detail w Confidentiality'!Q31+'Credits detail tables'!G126,0)</f>
        <v>5</v>
      </c>
      <c r="L80" s="310">
        <f>IF($B$80="Yes",'Credit Detail w Confidentiality'!R31+'Credits detail tables'!H126,0)</f>
        <v>5</v>
      </c>
      <c r="M80" s="310">
        <f>IF($B$80="Yes",'Credit Detail w Confidentiality'!S31+'Credits detail tables'!I126,0)</f>
        <v>0</v>
      </c>
      <c r="N80" s="310">
        <f>IF($B$80="Yes",'Credit Detail w Confidentiality'!T31+'Credits detail tables'!J126,0)</f>
        <v>0</v>
      </c>
      <c r="O80" s="310">
        <f>IF($B$80="Yes",'Credit Detail w Confidentiality'!U31+'Credits detail tables'!K126,0)</f>
        <v>0</v>
      </c>
      <c r="P80" s="310">
        <f>IF($B$80="Yes",'Credit Detail w Confidentiality'!V31+'Credits detail tables'!L126,0)</f>
        <v>0</v>
      </c>
      <c r="Q80" s="310">
        <f>IF($B$80="Yes",'Credit Detail w Confidentiality'!W31+'Credits detail tables'!M126,0)</f>
        <v>0</v>
      </c>
      <c r="R80" s="310">
        <f>IF($B$80="Yes",'Credit Detail w Confidentiality'!X31+'Credits detail tables'!N126,0)</f>
        <v>0</v>
      </c>
      <c r="S80" s="310">
        <f>IF($B$80="Yes",'Credit Detail w Confidentiality'!Y31+'Credits detail tables'!O126,0)</f>
        <v>0</v>
      </c>
      <c r="T80" s="310">
        <f>IF($B$80="Yes",'Credit Detail w Confidentiality'!Z31+'Credits detail tables'!P126,0)</f>
        <v>0</v>
      </c>
    </row>
    <row r="81" spans="1:24" ht="15" customHeight="1">
      <c r="B81" s="20"/>
      <c r="C81" s="19" t="s">
        <v>241</v>
      </c>
      <c r="D81" s="7">
        <v>17</v>
      </c>
      <c r="E81" s="12">
        <f t="shared" ref="E81:T81" si="18">SUM(E79:E80)</f>
        <v>17.039612766096536</v>
      </c>
      <c r="F81" s="12">
        <f t="shared" si="18"/>
        <v>15</v>
      </c>
      <c r="G81" s="12">
        <f t="shared" si="18"/>
        <v>15</v>
      </c>
      <c r="H81" s="12">
        <f t="shared" si="18"/>
        <v>15</v>
      </c>
      <c r="I81" s="12">
        <f t="shared" si="18"/>
        <v>15</v>
      </c>
      <c r="J81" s="12">
        <f t="shared" si="18"/>
        <v>15</v>
      </c>
      <c r="K81" s="12">
        <f t="shared" si="18"/>
        <v>15</v>
      </c>
      <c r="L81" s="12">
        <f t="shared" si="18"/>
        <v>15</v>
      </c>
      <c r="M81" s="12">
        <f t="shared" si="18"/>
        <v>10</v>
      </c>
      <c r="N81" s="12">
        <f t="shared" si="18"/>
        <v>10.9992</v>
      </c>
      <c r="O81" s="12">
        <f t="shared" si="18"/>
        <v>11.589700000000001</v>
      </c>
      <c r="P81" s="12">
        <f t="shared" si="18"/>
        <v>12.3011</v>
      </c>
      <c r="Q81" s="12">
        <f t="shared" si="18"/>
        <v>7.9956999999999994</v>
      </c>
      <c r="R81" s="12">
        <f t="shared" si="18"/>
        <v>8.7470999999999997</v>
      </c>
      <c r="S81" s="12">
        <f t="shared" si="18"/>
        <v>9.3302999999999994</v>
      </c>
      <c r="T81" s="12">
        <f t="shared" si="18"/>
        <v>9.9754000000000005</v>
      </c>
    </row>
    <row r="82" spans="1:24" ht="7.5" customHeight="1">
      <c r="B82" s="20"/>
      <c r="C82" s="20"/>
      <c r="D82" s="12"/>
      <c r="E82" s="12"/>
      <c r="F82" s="12"/>
      <c r="G82" s="12"/>
      <c r="H82" s="12"/>
      <c r="I82" s="12"/>
      <c r="J82" s="12"/>
      <c r="K82" s="12"/>
      <c r="L82" s="12"/>
      <c r="M82" s="12"/>
      <c r="N82" s="12"/>
      <c r="O82" s="12"/>
      <c r="P82" s="12"/>
      <c r="Q82" s="12"/>
      <c r="R82" s="12"/>
      <c r="S82" s="12"/>
      <c r="T82" s="12"/>
    </row>
    <row r="83" spans="1:24" ht="15" customHeight="1">
      <c r="B83" s="20"/>
      <c r="C83" s="268" t="s">
        <v>240</v>
      </c>
      <c r="D83" s="12">
        <f t="shared" ref="D83:T83" si="19">D81+D76</f>
        <v>887</v>
      </c>
      <c r="E83" s="12">
        <f t="shared" si="19"/>
        <v>740.8058877169841</v>
      </c>
      <c r="F83" s="12">
        <f t="shared" si="19"/>
        <v>768.09999999999991</v>
      </c>
      <c r="G83" s="12">
        <f t="shared" si="19"/>
        <v>871.10000000000014</v>
      </c>
      <c r="H83" s="12">
        <f t="shared" si="19"/>
        <v>778.8</v>
      </c>
      <c r="I83" s="12">
        <f t="shared" si="19"/>
        <v>705.80000000000007</v>
      </c>
      <c r="J83" s="12">
        <f t="shared" si="19"/>
        <v>649.5</v>
      </c>
      <c r="K83" s="12">
        <f t="shared" si="19"/>
        <v>448.90000000000003</v>
      </c>
      <c r="L83" s="12">
        <f t="shared" si="19"/>
        <v>356.69999999999993</v>
      </c>
      <c r="M83" s="12">
        <f t="shared" si="19"/>
        <v>299.80000000000007</v>
      </c>
      <c r="N83" s="12">
        <f t="shared" si="19"/>
        <v>222.29920000000001</v>
      </c>
      <c r="O83" s="12">
        <f t="shared" si="19"/>
        <v>173.58969999999999</v>
      </c>
      <c r="P83" s="12">
        <f t="shared" si="19"/>
        <v>100.50109999999999</v>
      </c>
      <c r="Q83" s="12">
        <f t="shared" si="19"/>
        <v>69.995699999999999</v>
      </c>
      <c r="R83" s="12">
        <f t="shared" si="19"/>
        <v>49.547100000000015</v>
      </c>
      <c r="S83" s="12">
        <f t="shared" si="19"/>
        <v>29.830300000000001</v>
      </c>
      <c r="T83" s="12">
        <f t="shared" si="19"/>
        <v>24.175399999999989</v>
      </c>
    </row>
    <row r="84" spans="1:24" ht="17.25" customHeight="1">
      <c r="B84" s="20"/>
      <c r="C84" s="268" t="s">
        <v>803</v>
      </c>
      <c r="D84" s="12"/>
      <c r="E84" s="12"/>
      <c r="F84" s="12">
        <f>'Credit Detail w Confidentiality'!L24+'Credits detail tables'!B75+'Credit Detail w Confidentiality'!L25+'Credits detail tables'!B92+'Credit Detail w Confidentiality'!L30+'Credits detail tables'!B109+'Credit Detail w Confidentiality'!L31+'Credits detail tables'!B126</f>
        <v>768.09999999999991</v>
      </c>
      <c r="G84" s="12">
        <f>'Credit Detail w Confidentiality'!M24+'Credits detail tables'!C75+'Credit Detail w Confidentiality'!M25+'Credits detail tables'!C92+'Credit Detail w Confidentiality'!M30+'Credits detail tables'!C109+'Credit Detail w Confidentiality'!M31+'Credits detail tables'!C126</f>
        <v>871.10000000000014</v>
      </c>
      <c r="H84" s="12">
        <f>'Credit Detail w Confidentiality'!N24+'Credits detail tables'!D75+'Credit Detail w Confidentiality'!N25+'Credits detail tables'!D92+'Credit Detail w Confidentiality'!N30+'Credits detail tables'!D109+'Credit Detail w Confidentiality'!N31+'Credits detail tables'!D126</f>
        <v>778.8</v>
      </c>
      <c r="I84" s="12">
        <f>'Credit Detail w Confidentiality'!O24+'Credits detail tables'!E75+'Credit Detail w Confidentiality'!O25+'Credits detail tables'!E92+'Credit Detail w Confidentiality'!O30+'Credits detail tables'!E109+'Credit Detail w Confidentiality'!O31+'Credits detail tables'!E126</f>
        <v>705.80000000000007</v>
      </c>
      <c r="J84" s="12">
        <f>'Credit Detail w Confidentiality'!P24+'Credits detail tables'!F75+'Credit Detail w Confidentiality'!P25+'Credits detail tables'!F92+'Credit Detail w Confidentiality'!P30+'Credits detail tables'!F109+'Credit Detail w Confidentiality'!P31+'Credits detail tables'!F126</f>
        <v>649.5</v>
      </c>
      <c r="K84" s="12">
        <f>'Credit Detail w Confidentiality'!Q24+'Credits detail tables'!G75+'Credit Detail w Confidentiality'!Q25+'Credits detail tables'!G92+'Credit Detail w Confidentiality'!Q30+'Credits detail tables'!G109+'Credit Detail w Confidentiality'!Q31+'Credits detail tables'!G126</f>
        <v>448.90000000000003</v>
      </c>
      <c r="L84" s="12">
        <f>'Credit Detail w Confidentiality'!R24+'Credits detail tables'!H75+'Credit Detail w Confidentiality'!R25+'Credits detail tables'!H92+'Credit Detail w Confidentiality'!R30+'Credits detail tables'!H109+'Credit Detail w Confidentiality'!R31+'Credits detail tables'!H126</f>
        <v>356.69999999999993</v>
      </c>
      <c r="M84" s="12">
        <f>'Credit Detail w Confidentiality'!S24+'Credits detail tables'!I75+'Credit Detail w Confidentiality'!S25+'Credits detail tables'!I92+'Credit Detail w Confidentiality'!S30+'Credits detail tables'!I109+'Credit Detail w Confidentiality'!S31+'Credits detail tables'!I126</f>
        <v>299.80000000000007</v>
      </c>
      <c r="N84" s="12">
        <f>'Credit Detail w Confidentiality'!T24+'Credits detail tables'!J75+'Credit Detail w Confidentiality'!T25+'Credits detail tables'!J92+'Credit Detail w Confidentiality'!T30+'Credits detail tables'!J109+'Credit Detail w Confidentiality'!T31+'Credits detail tables'!J126</f>
        <v>222.29920000000001</v>
      </c>
      <c r="O84" s="12">
        <f>'Credit Detail w Confidentiality'!U24+'Credits detail tables'!K75+'Credit Detail w Confidentiality'!U25+'Credits detail tables'!K92+'Credit Detail w Confidentiality'!U30+'Credits detail tables'!K109+'Credit Detail w Confidentiality'!U31+'Credits detail tables'!K126</f>
        <v>173.58969999999999</v>
      </c>
      <c r="P84" s="12">
        <f>'Credit Detail w Confidentiality'!V24+'Credits detail tables'!L75+'Credit Detail w Confidentiality'!V25+'Credits detail tables'!L92+'Credit Detail w Confidentiality'!V30+'Credits detail tables'!L109+'Credit Detail w Confidentiality'!V31+'Credits detail tables'!L126</f>
        <v>100.50109999999999</v>
      </c>
      <c r="Q84" s="12">
        <f>'Credit Detail w Confidentiality'!W24+'Credits detail tables'!M75+'Credit Detail w Confidentiality'!W25+'Credits detail tables'!M92+'Credit Detail w Confidentiality'!W30+'Credits detail tables'!M109+'Credit Detail w Confidentiality'!W31+'Credits detail tables'!M126</f>
        <v>69.995699999999999</v>
      </c>
      <c r="R84" s="12">
        <f>'Credit Detail w Confidentiality'!X24+'Credits detail tables'!N75+'Credit Detail w Confidentiality'!X25+'Credits detail tables'!N92+'Credit Detail w Confidentiality'!X30+'Credits detail tables'!N109+'Credit Detail w Confidentiality'!X31+'Credits detail tables'!N126</f>
        <v>49.547100000000015</v>
      </c>
      <c r="S84" s="12">
        <f>'Credit Detail w Confidentiality'!Y24+'Credits detail tables'!O75+'Credit Detail w Confidentiality'!Y25+'Credits detail tables'!O92+'Credit Detail w Confidentiality'!Y30+'Credits detail tables'!O109+'Credit Detail w Confidentiality'!Y31+'Credits detail tables'!O126</f>
        <v>29.830300000000001</v>
      </c>
      <c r="T84" s="12">
        <f>'Credit Detail w Confidentiality'!Z24+'Credits detail tables'!P75+'Credit Detail w Confidentiality'!Z25+'Credits detail tables'!P92+'Credit Detail w Confidentiality'!Z30+'Credits detail tables'!P109+'Credit Detail w Confidentiality'!Z31+'Credits detail tables'!P126</f>
        <v>24.175399999999989</v>
      </c>
    </row>
    <row r="85" spans="1:24" ht="15" customHeight="1">
      <c r="B85" s="20"/>
      <c r="C85" s="268" t="s">
        <v>286</v>
      </c>
      <c r="D85" s="12"/>
      <c r="E85" s="12"/>
      <c r="F85" s="12"/>
      <c r="G85" s="12"/>
      <c r="H85" s="12"/>
      <c r="I85" s="12"/>
      <c r="J85" s="12"/>
      <c r="K85" s="12"/>
      <c r="L85" s="12"/>
      <c r="M85" s="12"/>
      <c r="N85" s="12"/>
      <c r="O85" s="12"/>
      <c r="P85" s="12"/>
      <c r="Q85" s="12"/>
      <c r="R85" s="12"/>
      <c r="S85" s="12"/>
      <c r="T85" s="12"/>
    </row>
    <row r="86" spans="1:24" ht="15" customHeight="1">
      <c r="B86" s="20"/>
      <c r="C86" s="19" t="s">
        <v>238</v>
      </c>
      <c r="D86" s="7">
        <f>D76+D57</f>
        <v>1151.286803</v>
      </c>
      <c r="E86" s="7">
        <v>1020.5652371103997</v>
      </c>
      <c r="F86" s="7">
        <f t="shared" ref="F86:T86" si="20">F57+F64</f>
        <v>0</v>
      </c>
      <c r="G86" s="7">
        <f t="shared" si="20"/>
        <v>0</v>
      </c>
      <c r="H86" s="7">
        <f t="shared" si="20"/>
        <v>0</v>
      </c>
      <c r="I86" s="7">
        <f t="shared" si="20"/>
        <v>0</v>
      </c>
      <c r="J86" s="7">
        <f t="shared" si="20"/>
        <v>0</v>
      </c>
      <c r="K86" s="7">
        <f t="shared" si="20"/>
        <v>0</v>
      </c>
      <c r="L86" s="7">
        <f t="shared" si="20"/>
        <v>0</v>
      </c>
      <c r="M86" s="7">
        <f t="shared" si="20"/>
        <v>0</v>
      </c>
      <c r="N86" s="7">
        <f t="shared" si="20"/>
        <v>0</v>
      </c>
      <c r="O86" s="7">
        <f t="shared" si="20"/>
        <v>0</v>
      </c>
      <c r="P86" s="7">
        <f t="shared" si="20"/>
        <v>0</v>
      </c>
      <c r="Q86" s="7">
        <f t="shared" si="20"/>
        <v>0</v>
      </c>
      <c r="R86" s="7">
        <f t="shared" si="20"/>
        <v>0</v>
      </c>
      <c r="S86" s="7">
        <f t="shared" si="20"/>
        <v>0</v>
      </c>
      <c r="T86" s="7">
        <f t="shared" si="20"/>
        <v>0</v>
      </c>
    </row>
    <row r="87" spans="1:24" ht="15" customHeight="1">
      <c r="B87" s="20"/>
      <c r="C87" s="19" t="s">
        <v>237</v>
      </c>
      <c r="D87" s="308">
        <f t="shared" ref="D87:T87" si="21">D64+D81</f>
        <v>329</v>
      </c>
      <c r="E87" s="308">
        <f t="shared" si="21"/>
        <v>327.57441276609654</v>
      </c>
      <c r="F87" s="308">
        <f t="shared" si="21"/>
        <v>15</v>
      </c>
      <c r="G87" s="308">
        <f t="shared" si="21"/>
        <v>15</v>
      </c>
      <c r="H87" s="308">
        <f t="shared" si="21"/>
        <v>15</v>
      </c>
      <c r="I87" s="308">
        <f t="shared" si="21"/>
        <v>15</v>
      </c>
      <c r="J87" s="308">
        <f t="shared" si="21"/>
        <v>15</v>
      </c>
      <c r="K87" s="308">
        <f t="shared" si="21"/>
        <v>15</v>
      </c>
      <c r="L87" s="308">
        <f t="shared" si="21"/>
        <v>15</v>
      </c>
      <c r="M87" s="308">
        <f t="shared" si="21"/>
        <v>10</v>
      </c>
      <c r="N87" s="308">
        <f t="shared" si="21"/>
        <v>10.9992</v>
      </c>
      <c r="O87" s="308">
        <f t="shared" si="21"/>
        <v>11.589700000000001</v>
      </c>
      <c r="P87" s="308">
        <f t="shared" si="21"/>
        <v>12.3011</v>
      </c>
      <c r="Q87" s="308">
        <f t="shared" si="21"/>
        <v>7.9956999999999994</v>
      </c>
      <c r="R87" s="308">
        <f t="shared" si="21"/>
        <v>8.7470999999999997</v>
      </c>
      <c r="S87" s="308">
        <f t="shared" si="21"/>
        <v>9.3302999999999994</v>
      </c>
      <c r="T87" s="308">
        <f t="shared" si="21"/>
        <v>9.9754000000000005</v>
      </c>
    </row>
    <row r="88" spans="1:24" ht="15" customHeight="1">
      <c r="B88" s="20"/>
      <c r="C88" s="311" t="s">
        <v>235</v>
      </c>
      <c r="D88" s="312">
        <f>SUM(D86:D87)</f>
        <v>1480.286803</v>
      </c>
      <c r="E88" s="312">
        <f t="shared" ref="E88:T88" si="22">SUM(E86:E87)</f>
        <v>1348.1396498764962</v>
      </c>
      <c r="F88" s="312">
        <f t="shared" si="22"/>
        <v>15</v>
      </c>
      <c r="G88" s="312">
        <f t="shared" si="22"/>
        <v>15</v>
      </c>
      <c r="H88" s="312">
        <f t="shared" si="22"/>
        <v>15</v>
      </c>
      <c r="I88" s="312">
        <f t="shared" si="22"/>
        <v>15</v>
      </c>
      <c r="J88" s="312">
        <f t="shared" si="22"/>
        <v>15</v>
      </c>
      <c r="K88" s="312">
        <f t="shared" si="22"/>
        <v>15</v>
      </c>
      <c r="L88" s="312">
        <f t="shared" si="22"/>
        <v>15</v>
      </c>
      <c r="M88" s="312">
        <f t="shared" si="22"/>
        <v>10</v>
      </c>
      <c r="N88" s="312">
        <f t="shared" si="22"/>
        <v>10.9992</v>
      </c>
      <c r="O88" s="312">
        <f t="shared" si="22"/>
        <v>11.589700000000001</v>
      </c>
      <c r="P88" s="312">
        <f t="shared" si="22"/>
        <v>12.3011</v>
      </c>
      <c r="Q88" s="312">
        <f t="shared" si="22"/>
        <v>7.9956999999999994</v>
      </c>
      <c r="R88" s="312">
        <f t="shared" si="22"/>
        <v>8.7470999999999997</v>
      </c>
      <c r="S88" s="312">
        <f t="shared" si="22"/>
        <v>9.3302999999999994</v>
      </c>
      <c r="T88" s="312">
        <f t="shared" si="22"/>
        <v>9.9754000000000005</v>
      </c>
    </row>
    <row r="89" spans="1:24" ht="7.5" customHeight="1">
      <c r="C89" s="20"/>
      <c r="X89" s="11"/>
    </row>
    <row r="90" spans="1:24" ht="15" customHeight="1" thickBot="1">
      <c r="C90" s="19" t="s">
        <v>221</v>
      </c>
      <c r="X90" s="11"/>
    </row>
    <row r="91" spans="1:24" ht="15" customHeight="1" thickBot="1">
      <c r="A91" s="1085" t="b">
        <v>0</v>
      </c>
      <c r="B91" s="13" t="str">
        <f>IF(A91=TRUE,"Yes","No")</f>
        <v>No</v>
      </c>
      <c r="C91" s="20" t="s">
        <v>329</v>
      </c>
      <c r="D91" s="7"/>
      <c r="E91" s="7"/>
      <c r="F91" s="12">
        <f>IF(AND($B$91="Yes",F92&gt;0),F92,0)</f>
        <v>0</v>
      </c>
      <c r="G91" s="12">
        <f t="shared" ref="G91:T91" si="23">IF(AND($B$91="Yes",G92&gt;0),G92,0)</f>
        <v>0</v>
      </c>
      <c r="H91" s="12">
        <f t="shared" si="23"/>
        <v>0</v>
      </c>
      <c r="I91" s="12">
        <f t="shared" si="23"/>
        <v>0</v>
      </c>
      <c r="J91" s="12">
        <f t="shared" si="23"/>
        <v>0</v>
      </c>
      <c r="K91" s="12">
        <f t="shared" si="23"/>
        <v>0</v>
      </c>
      <c r="L91" s="12">
        <f t="shared" si="23"/>
        <v>0</v>
      </c>
      <c r="M91" s="12">
        <f t="shared" si="23"/>
        <v>0</v>
      </c>
      <c r="N91" s="12">
        <f t="shared" si="23"/>
        <v>0</v>
      </c>
      <c r="O91" s="12">
        <f t="shared" si="23"/>
        <v>0</v>
      </c>
      <c r="P91" s="12">
        <f t="shared" si="23"/>
        <v>0</v>
      </c>
      <c r="Q91" s="12">
        <f t="shared" si="23"/>
        <v>0</v>
      </c>
      <c r="R91" s="12">
        <f t="shared" si="23"/>
        <v>0</v>
      </c>
      <c r="S91" s="12">
        <f t="shared" si="23"/>
        <v>0</v>
      </c>
      <c r="T91" s="12">
        <f t="shared" si="23"/>
        <v>0</v>
      </c>
      <c r="X91" s="11"/>
    </row>
    <row r="92" spans="1:24" ht="15" customHeight="1">
      <c r="C92" s="41" t="s">
        <v>328</v>
      </c>
      <c r="D92" s="7"/>
      <c r="E92" s="7"/>
      <c r="F92" s="156">
        <v>-9.2520855814849448</v>
      </c>
      <c r="G92" s="156">
        <v>-2.2185982959208728</v>
      </c>
      <c r="H92" s="156">
        <v>-2.1632409822690719</v>
      </c>
      <c r="I92" s="156">
        <v>0.50355362522371738</v>
      </c>
      <c r="J92" s="156">
        <v>3.9923941003103112</v>
      </c>
      <c r="K92" s="156">
        <v>7.5807365412940833</v>
      </c>
      <c r="L92" s="156">
        <v>8.3245970029082788</v>
      </c>
      <c r="M92" s="156">
        <v>9.6367242234542374</v>
      </c>
      <c r="N92" s="156">
        <v>10.999244287576253</v>
      </c>
      <c r="O92" s="156">
        <v>11.589693416271576</v>
      </c>
      <c r="P92" s="156">
        <v>12.301067995148291</v>
      </c>
      <c r="Q92" s="156">
        <v>12.99572726159048</v>
      </c>
      <c r="R92" s="156">
        <v>13.747086551231108</v>
      </c>
      <c r="S92" s="156">
        <v>14.330266562333607</v>
      </c>
      <c r="T92" s="156">
        <v>14.975379656408174</v>
      </c>
      <c r="X92" s="11"/>
    </row>
    <row r="93" spans="1:24" ht="7.5" customHeight="1">
      <c r="C93" s="10"/>
      <c r="X93" s="11"/>
    </row>
    <row r="94" spans="1:24" ht="15" customHeight="1" thickBot="1">
      <c r="C94" s="19" t="s">
        <v>60</v>
      </c>
      <c r="X94" s="11"/>
    </row>
    <row r="95" spans="1:24" ht="15" customHeight="1" thickBot="1">
      <c r="A95" s="1085" t="b">
        <v>0</v>
      </c>
      <c r="B95" s="13" t="str">
        <f>IF(A95=TRUE,"Yes","No")</f>
        <v>No</v>
      </c>
      <c r="C95" s="19" t="s">
        <v>216</v>
      </c>
      <c r="D95" s="7"/>
      <c r="E95" s="7"/>
      <c r="F95" s="2">
        <f>IF($B$95="Yes",F96/5*100*$B$96,0)</f>
        <v>0</v>
      </c>
      <c r="G95" s="2">
        <f t="shared" ref="G95:T95" si="24">IF($B$95="Yes",G96/5*100*$B$96,0)</f>
        <v>0</v>
      </c>
      <c r="H95" s="2">
        <f t="shared" si="24"/>
        <v>0</v>
      </c>
      <c r="I95" s="2">
        <f t="shared" si="24"/>
        <v>0</v>
      </c>
      <c r="J95" s="2">
        <f t="shared" si="24"/>
        <v>0</v>
      </c>
      <c r="K95" s="2">
        <f t="shared" si="24"/>
        <v>0</v>
      </c>
      <c r="L95" s="2">
        <f t="shared" si="24"/>
        <v>0</v>
      </c>
      <c r="M95" s="2">
        <f t="shared" si="24"/>
        <v>0</v>
      </c>
      <c r="N95" s="2">
        <f t="shared" si="24"/>
        <v>0</v>
      </c>
      <c r="O95" s="2">
        <f t="shared" si="24"/>
        <v>0</v>
      </c>
      <c r="P95" s="2">
        <f t="shared" si="24"/>
        <v>0</v>
      </c>
      <c r="Q95" s="2">
        <f t="shared" si="24"/>
        <v>0</v>
      </c>
      <c r="R95" s="2">
        <f t="shared" si="24"/>
        <v>0</v>
      </c>
      <c r="S95" s="2">
        <f t="shared" si="24"/>
        <v>0</v>
      </c>
      <c r="T95" s="2">
        <f t="shared" si="24"/>
        <v>0</v>
      </c>
      <c r="X95" s="11"/>
    </row>
    <row r="96" spans="1:24" ht="15" customHeight="1" thickBot="1">
      <c r="A96" s="1085">
        <v>1</v>
      </c>
      <c r="B96" s="155">
        <f>0.01*A96</f>
        <v>0.01</v>
      </c>
      <c r="C96" s="10" t="s">
        <v>217</v>
      </c>
      <c r="D96" s="7"/>
      <c r="E96" s="7"/>
      <c r="F96" s="156">
        <v>8.2553912994357486</v>
      </c>
      <c r="G96" s="156">
        <v>8.5090113408428163</v>
      </c>
      <c r="H96" s="156">
        <v>8.0625727725436906</v>
      </c>
      <c r="I96" s="156">
        <v>7.4822643598402525</v>
      </c>
      <c r="J96" s="156">
        <v>7.0283533065828214</v>
      </c>
      <c r="K96" s="156">
        <v>6.4769646236162393</v>
      </c>
      <c r="L96" s="156">
        <v>5.9615959230242916</v>
      </c>
      <c r="M96" s="156">
        <v>5.5609199519960795</v>
      </c>
      <c r="N96" s="156">
        <v>5.1230166075616879</v>
      </c>
      <c r="O96" s="156">
        <v>4.5749351813292085</v>
      </c>
      <c r="P96" s="156">
        <v>4.126218453830349</v>
      </c>
      <c r="Q96" s="156">
        <v>3.7480791678156637</v>
      </c>
      <c r="R96" s="156">
        <v>3.4327259526158671</v>
      </c>
      <c r="S96" s="156">
        <v>3.130784144315284</v>
      </c>
      <c r="T96" s="156">
        <v>2.8715071878934606</v>
      </c>
      <c r="X96" s="11"/>
    </row>
    <row r="97" spans="1:24" ht="7.5" customHeight="1">
      <c r="C97" s="10"/>
      <c r="X97" s="11"/>
    </row>
    <row r="98" spans="1:24" ht="15.75" thickBot="1">
      <c r="C98" s="40" t="s">
        <v>423</v>
      </c>
      <c r="D98" s="2"/>
      <c r="E98" s="12"/>
      <c r="F98" s="12"/>
      <c r="G98" s="12"/>
      <c r="H98" s="12"/>
      <c r="I98" s="12"/>
      <c r="J98" s="12"/>
      <c r="K98" s="12"/>
      <c r="L98" s="12"/>
      <c r="M98" s="12"/>
      <c r="N98" s="12"/>
      <c r="O98" s="12"/>
      <c r="P98" s="12"/>
      <c r="Q98" s="12"/>
      <c r="R98" s="12"/>
      <c r="S98" s="12"/>
      <c r="T98" s="12"/>
      <c r="X98" s="11"/>
    </row>
    <row r="99" spans="1:24" ht="15.75" thickBot="1">
      <c r="A99" s="1085" t="b">
        <v>0</v>
      </c>
      <c r="B99" s="13" t="str">
        <f>IF(A99=TRUE,"Yes","No")</f>
        <v>No</v>
      </c>
      <c r="C99" s="3" t="s">
        <v>424</v>
      </c>
      <c r="D99" s="7"/>
      <c r="E99" s="7"/>
      <c r="F99" s="2">
        <f>IF($B$99="Yes",'Fishing Taxes'!E2,0)</f>
        <v>0</v>
      </c>
      <c r="G99" s="2">
        <f>IF($B$99="Yes",'Fishing Taxes'!F2,0)</f>
        <v>0</v>
      </c>
      <c r="H99" s="2">
        <f>IF($B$99="Yes",'Fishing Taxes'!G2,0)</f>
        <v>0</v>
      </c>
      <c r="I99" s="2">
        <f>IF($B$99="Yes",'Fishing Taxes'!H2,0)</f>
        <v>0</v>
      </c>
      <c r="J99" s="2">
        <f>IF($B$99="Yes",'Fishing Taxes'!I2,0)</f>
        <v>0</v>
      </c>
      <c r="K99" s="2">
        <f>IF($B$99="Yes",'Fishing Taxes'!J2,0)</f>
        <v>0</v>
      </c>
      <c r="L99" s="2">
        <f>IF($B$99="Yes",'Fishing Taxes'!K2,0)</f>
        <v>0</v>
      </c>
      <c r="M99" s="2">
        <f>IF($B$99="Yes",'Fishing Taxes'!L2,0)</f>
        <v>0</v>
      </c>
      <c r="N99" s="2">
        <f>IF($B$99="Yes",'Fishing Taxes'!M2,0)</f>
        <v>0</v>
      </c>
      <c r="O99" s="2">
        <f>IF($B$99="Yes",'Fishing Taxes'!N2,0)</f>
        <v>0</v>
      </c>
      <c r="P99" s="2">
        <f>IF($B$99="Yes",'Fishing Taxes'!O2,0)</f>
        <v>0</v>
      </c>
      <c r="Q99" s="2">
        <f>IF($B$99="Yes",'Fishing Taxes'!P2,0)</f>
        <v>0</v>
      </c>
      <c r="R99" s="2">
        <f>IF($B$99="Yes",'Fishing Taxes'!Q2,0)</f>
        <v>0</v>
      </c>
      <c r="S99" s="2">
        <f>IF($B$99="Yes",'Fishing Taxes'!R2,0)</f>
        <v>0</v>
      </c>
      <c r="T99" s="2">
        <f>IF($B$99="Yes",'Fishing Taxes'!S2,0)</f>
        <v>0</v>
      </c>
      <c r="X99" s="11"/>
    </row>
    <row r="100" spans="1:24" ht="15.75" thickBot="1">
      <c r="A100" s="1085">
        <v>1</v>
      </c>
      <c r="B100" s="15">
        <f>A100*0.01</f>
        <v>0.01</v>
      </c>
      <c r="C100" s="10" t="s">
        <v>425</v>
      </c>
      <c r="D100" s="7"/>
      <c r="E100" s="7"/>
      <c r="F100" s="7"/>
      <c r="G100" s="7"/>
      <c r="H100" s="7"/>
      <c r="I100" s="7"/>
      <c r="J100" s="7"/>
      <c r="K100" s="7"/>
      <c r="L100" s="7"/>
      <c r="M100" s="7"/>
      <c r="N100" s="7"/>
      <c r="O100" s="7"/>
      <c r="P100" s="7"/>
      <c r="Q100" s="7"/>
      <c r="R100" s="7"/>
      <c r="S100" s="7"/>
      <c r="T100" s="7"/>
      <c r="X100" s="11"/>
    </row>
    <row r="101" spans="1:24">
      <c r="B101" s="352"/>
      <c r="C101" s="10"/>
      <c r="D101" s="7"/>
      <c r="E101" s="7"/>
      <c r="F101" s="7"/>
      <c r="G101" s="7"/>
      <c r="H101" s="7"/>
      <c r="I101" s="7"/>
      <c r="J101" s="7"/>
      <c r="K101" s="7"/>
      <c r="L101" s="7"/>
      <c r="M101" s="7"/>
      <c r="N101" s="7"/>
      <c r="O101" s="7"/>
      <c r="P101" s="7"/>
      <c r="Q101" s="7"/>
      <c r="R101" s="7"/>
      <c r="S101" s="7"/>
      <c r="T101" s="7"/>
      <c r="X101" s="11"/>
    </row>
    <row r="102" spans="1:24" ht="15.75" thickBot="1">
      <c r="C102" s="40" t="s">
        <v>426</v>
      </c>
      <c r="D102" s="2"/>
      <c r="E102" s="12"/>
      <c r="F102" s="12"/>
      <c r="G102" s="12"/>
      <c r="H102" s="12"/>
      <c r="I102" s="12"/>
      <c r="J102" s="12"/>
      <c r="K102" s="12"/>
      <c r="L102" s="12"/>
      <c r="M102" s="12"/>
      <c r="N102" s="12"/>
      <c r="O102" s="12"/>
      <c r="P102" s="12"/>
      <c r="Q102" s="12"/>
      <c r="R102" s="12"/>
      <c r="S102" s="12"/>
      <c r="T102" s="12"/>
      <c r="X102" s="11"/>
    </row>
    <row r="103" spans="1:24" ht="15.75" thickBot="1">
      <c r="A103" s="1085" t="b">
        <v>0</v>
      </c>
      <c r="B103" s="13" t="str">
        <f>IF(A103=TRUE,"Yes","No")</f>
        <v>No</v>
      </c>
      <c r="C103" s="3" t="s">
        <v>427</v>
      </c>
      <c r="D103" s="7"/>
      <c r="E103" s="7"/>
      <c r="F103" s="2">
        <f>IF($B$103="Yes",'Fuel Tax'!F3,0)</f>
        <v>0</v>
      </c>
      <c r="G103" s="2">
        <f>IF($B$103="Yes",'Fuel Tax'!G3,0)</f>
        <v>0</v>
      </c>
      <c r="H103" s="2">
        <f>IF($B$103="Yes",'Fuel Tax'!H3,0)</f>
        <v>0</v>
      </c>
      <c r="I103" s="2">
        <f>IF($B$103="Yes",'Fuel Tax'!I3,0)</f>
        <v>0</v>
      </c>
      <c r="J103" s="2">
        <f>IF($B$103="Yes",'Fuel Tax'!J3,0)</f>
        <v>0</v>
      </c>
      <c r="K103" s="2">
        <f>IF($B$103="Yes",'Fuel Tax'!K3,0)</f>
        <v>0</v>
      </c>
      <c r="L103" s="2">
        <f>IF($B$103="Yes",'Fuel Tax'!L3,0)</f>
        <v>0</v>
      </c>
      <c r="M103" s="2">
        <f>IF($B$103="Yes",'Fuel Tax'!M3,0)</f>
        <v>0</v>
      </c>
      <c r="N103" s="2">
        <f>IF($B$103="Yes",'Fuel Tax'!N3,0)</f>
        <v>0</v>
      </c>
      <c r="O103" s="2">
        <f>IF($B$103="Yes",'Fuel Tax'!O3,0)</f>
        <v>0</v>
      </c>
      <c r="P103" s="2">
        <f>IF($B$103="Yes",'Fuel Tax'!P3,0)</f>
        <v>0</v>
      </c>
      <c r="Q103" s="2">
        <f>IF($B$103="Yes",'Fuel Tax'!Q3,0)</f>
        <v>0</v>
      </c>
      <c r="R103" s="2">
        <f>IF($B$103="Yes",'Fuel Tax'!R3,0)</f>
        <v>0</v>
      </c>
      <c r="S103" s="2">
        <f>IF($B$103="Yes",'Fuel Tax'!S3,0)</f>
        <v>0</v>
      </c>
      <c r="T103" s="2">
        <f>IF($B$103="Yes",'Fuel Tax'!T3,0)</f>
        <v>0</v>
      </c>
      <c r="X103" s="11"/>
    </row>
    <row r="104" spans="1:24" ht="15.75" thickBot="1">
      <c r="A104" s="1085">
        <v>1</v>
      </c>
      <c r="B104" s="315">
        <f>A104*0.01</f>
        <v>0.01</v>
      </c>
      <c r="C104" s="10" t="s">
        <v>428</v>
      </c>
      <c r="D104" s="7"/>
      <c r="E104" s="7"/>
      <c r="F104" s="7"/>
      <c r="G104" s="7"/>
      <c r="H104" s="7"/>
      <c r="I104" s="7"/>
      <c r="J104" s="7"/>
      <c r="K104" s="7"/>
      <c r="L104" s="7"/>
      <c r="M104" s="7"/>
      <c r="N104" s="7"/>
      <c r="O104" s="7"/>
      <c r="P104" s="7"/>
      <c r="Q104" s="7"/>
      <c r="R104" s="7"/>
      <c r="S104" s="7"/>
      <c r="T104" s="7"/>
      <c r="X104" s="11"/>
    </row>
    <row r="105" spans="1:24">
      <c r="B105" s="352"/>
      <c r="C105" s="10"/>
      <c r="D105" s="7"/>
      <c r="E105" s="7"/>
      <c r="F105" s="7"/>
      <c r="G105" s="7"/>
      <c r="H105" s="7"/>
      <c r="I105" s="7"/>
      <c r="J105" s="7"/>
      <c r="K105" s="7"/>
      <c r="L105" s="7"/>
      <c r="M105" s="7"/>
      <c r="N105" s="7"/>
      <c r="O105" s="7"/>
      <c r="P105" s="7"/>
      <c r="Q105" s="7"/>
      <c r="R105" s="7"/>
      <c r="S105" s="7"/>
      <c r="T105" s="7"/>
      <c r="X105" s="11"/>
    </row>
    <row r="106" spans="1:24" ht="15.75" thickBot="1">
      <c r="C106" s="40" t="s">
        <v>44</v>
      </c>
    </row>
    <row r="107" spans="1:24" ht="15.75" thickBot="1">
      <c r="A107" s="1085" t="b">
        <v>0</v>
      </c>
      <c r="B107" s="1234" t="str">
        <f>IF(A107=TRUE,"Yes","No")</f>
        <v>No</v>
      </c>
      <c r="C107" s="3" t="s">
        <v>941</v>
      </c>
      <c r="D107" s="7"/>
      <c r="E107" s="7"/>
      <c r="F107" s="2">
        <f>IF($B107="Yes",'Receipts Tax'!D4,0)</f>
        <v>0</v>
      </c>
      <c r="G107" s="2">
        <f>IF($B107="Yes",'Receipts Tax'!E4,0)</f>
        <v>0</v>
      </c>
      <c r="H107" s="2">
        <f>IF($B107="Yes",'Receipts Tax'!F4,0)</f>
        <v>0</v>
      </c>
      <c r="I107" s="2">
        <f>IF($B107="Yes",'Receipts Tax'!G4,0)</f>
        <v>0</v>
      </c>
      <c r="J107" s="2">
        <f>IF($B107="Yes",'Receipts Tax'!H4,0)</f>
        <v>0</v>
      </c>
      <c r="K107" s="2">
        <f>IF($B107="Yes",'Receipts Tax'!I4,0)</f>
        <v>0</v>
      </c>
      <c r="L107" s="2">
        <f>IF($B107="Yes",'Receipts Tax'!J4,0)</f>
        <v>0</v>
      </c>
      <c r="M107" s="2">
        <f>IF($B107="Yes",'Receipts Tax'!K4,0)</f>
        <v>0</v>
      </c>
      <c r="N107" s="2">
        <f>IF($B107="Yes",'Receipts Tax'!L4,0)</f>
        <v>0</v>
      </c>
      <c r="O107" s="2">
        <f>IF($B107="Yes",'Receipts Tax'!M4,0)</f>
        <v>0</v>
      </c>
      <c r="P107" s="2">
        <f>IF($B107="Yes",'Receipts Tax'!N4,0)</f>
        <v>0</v>
      </c>
      <c r="Q107" s="2">
        <f>IF($B107="Yes",'Receipts Tax'!O4,0)</f>
        <v>0</v>
      </c>
      <c r="R107" s="2">
        <f>IF($B107="Yes",'Receipts Tax'!P4,0)</f>
        <v>0</v>
      </c>
      <c r="S107" s="2">
        <f>IF($B107="Yes",'Receipts Tax'!Q4,0)</f>
        <v>0</v>
      </c>
      <c r="T107" s="2">
        <f>IF($B107="Yes",'Receipts Tax'!R4,0)</f>
        <v>0</v>
      </c>
    </row>
    <row r="108" spans="1:24" ht="15.75" thickBot="1">
      <c r="C108" s="10"/>
      <c r="D108" s="7"/>
      <c r="E108" s="7"/>
      <c r="F108" s="7"/>
      <c r="G108" s="7"/>
      <c r="H108" s="7"/>
      <c r="I108" s="7"/>
      <c r="J108" s="7"/>
      <c r="K108" s="7"/>
      <c r="L108" s="7"/>
      <c r="M108" s="7"/>
      <c r="N108" s="7"/>
      <c r="O108" s="7"/>
      <c r="P108" s="7"/>
      <c r="Q108" s="7"/>
      <c r="R108" s="7"/>
      <c r="S108" s="7"/>
      <c r="T108" s="7"/>
      <c r="X108" s="11"/>
    </row>
    <row r="109" spans="1:24" ht="15.75" thickBot="1">
      <c r="A109" s="1085" t="b">
        <v>0</v>
      </c>
      <c r="B109" s="13" t="str">
        <f>IF(A109=TRUE,"Yes","No")</f>
        <v>No</v>
      </c>
      <c r="C109" s="3" t="s">
        <v>44</v>
      </c>
      <c r="D109" s="7"/>
      <c r="E109" s="7"/>
      <c r="F109" s="2">
        <f>IF($B109="Yes",'Sales Tax'!C3,0)</f>
        <v>0</v>
      </c>
      <c r="G109" s="2">
        <f>IF($B109="Yes",'Sales Tax'!D3,0)</f>
        <v>0</v>
      </c>
      <c r="H109" s="2">
        <f>IF($B109="Yes",'Sales Tax'!E3,0)</f>
        <v>0</v>
      </c>
      <c r="I109" s="2">
        <f>IF($B109="Yes",'Sales Tax'!F3,0)</f>
        <v>0</v>
      </c>
      <c r="J109" s="2">
        <f>IF($B109="Yes",'Sales Tax'!G3,0)</f>
        <v>0</v>
      </c>
      <c r="K109" s="2">
        <f>IF($B109="Yes",'Sales Tax'!H3,0)</f>
        <v>0</v>
      </c>
      <c r="L109" s="2">
        <f>IF($B109="Yes",'Sales Tax'!I3,0)</f>
        <v>0</v>
      </c>
      <c r="M109" s="2">
        <f>IF($B109="Yes",'Sales Tax'!J3,0)</f>
        <v>0</v>
      </c>
      <c r="N109" s="2">
        <f>IF($B109="Yes",'Sales Tax'!K3,0)</f>
        <v>0</v>
      </c>
      <c r="O109" s="2">
        <f>IF($B109="Yes",'Sales Tax'!L3,0)</f>
        <v>0</v>
      </c>
      <c r="P109" s="2">
        <f>IF($B109="Yes",'Sales Tax'!M3,0)</f>
        <v>0</v>
      </c>
      <c r="Q109" s="2">
        <f>IF($B109="Yes",'Sales Tax'!N3,0)</f>
        <v>0</v>
      </c>
      <c r="R109" s="2">
        <f>IF($B109="Yes",'Sales Tax'!O3,0)</f>
        <v>0</v>
      </c>
      <c r="S109" s="2">
        <f>IF($B109="Yes",'Sales Tax'!P3,0)</f>
        <v>0</v>
      </c>
      <c r="T109" s="2">
        <f>IF($B109="Yes",'Sales Tax'!Q3,0)</f>
        <v>0</v>
      </c>
      <c r="X109" s="11"/>
    </row>
    <row r="110" spans="1:24" ht="15.75" thickBot="1">
      <c r="A110" s="1085">
        <v>1</v>
      </c>
      <c r="B110" s="15">
        <f>CHOOSE(A110,1%,2%,3%,4%,5%)</f>
        <v>0.01</v>
      </c>
      <c r="C110" s="10" t="s">
        <v>45</v>
      </c>
      <c r="D110" s="7"/>
      <c r="E110" s="7"/>
      <c r="F110" s="7"/>
      <c r="G110" s="7"/>
      <c r="H110" s="7"/>
      <c r="I110" s="7"/>
      <c r="J110" s="7"/>
      <c r="K110" s="7"/>
      <c r="L110" s="7"/>
      <c r="M110" s="7"/>
      <c r="N110" s="7"/>
      <c r="O110" s="7"/>
      <c r="P110" s="7"/>
      <c r="Q110" s="7"/>
      <c r="R110" s="7"/>
      <c r="S110" s="7"/>
      <c r="T110" s="7"/>
      <c r="X110" s="11"/>
    </row>
    <row r="111" spans="1:24" ht="7.5" customHeight="1">
      <c r="C111" s="10"/>
      <c r="D111" s="2"/>
      <c r="E111" s="12"/>
      <c r="F111" s="12"/>
      <c r="G111" s="12"/>
      <c r="H111" s="12"/>
      <c r="I111" s="12"/>
      <c r="J111" s="12"/>
      <c r="K111" s="12"/>
      <c r="L111" s="12"/>
      <c r="M111" s="12"/>
      <c r="N111" s="12"/>
      <c r="O111" s="12"/>
      <c r="P111" s="12"/>
      <c r="Q111" s="12"/>
      <c r="R111" s="12"/>
      <c r="S111" s="12"/>
      <c r="T111" s="12"/>
      <c r="X111" s="11"/>
    </row>
    <row r="112" spans="1:24" ht="15.75" thickBot="1">
      <c r="C112" s="40" t="s">
        <v>46</v>
      </c>
      <c r="D112" s="2"/>
      <c r="E112" s="12"/>
      <c r="F112" s="12"/>
      <c r="G112" s="12"/>
      <c r="H112" s="12"/>
      <c r="I112" s="12"/>
      <c r="J112" s="12"/>
      <c r="K112" s="12"/>
      <c r="L112" s="12"/>
      <c r="M112" s="12"/>
      <c r="N112" s="12"/>
      <c r="O112" s="12"/>
      <c r="P112" s="12"/>
      <c r="Q112" s="12"/>
      <c r="R112" s="12"/>
      <c r="S112" s="12"/>
      <c r="T112" s="12"/>
      <c r="X112" s="11"/>
    </row>
    <row r="113" spans="1:24" ht="15.75" thickBot="1">
      <c r="A113" s="1085" t="b">
        <v>0</v>
      </c>
      <c r="B113" s="13" t="str">
        <f>IF(A113=TRUE,"Yes","No")</f>
        <v>No</v>
      </c>
      <c r="C113" s="3" t="s">
        <v>46</v>
      </c>
      <c r="D113" s="7"/>
      <c r="E113" s="7"/>
      <c r="F113" s="2">
        <f>IF($B$113="Yes",'Personal Income Tax'!B3,0)</f>
        <v>0</v>
      </c>
      <c r="G113" s="2">
        <f>IF($B$113="Yes",'Personal Income Tax'!C3,0)</f>
        <v>0</v>
      </c>
      <c r="H113" s="2">
        <f>IF($B$113="Yes",'Personal Income Tax'!D3,0)</f>
        <v>0</v>
      </c>
      <c r="I113" s="2">
        <f>IF($B$113="Yes",'Personal Income Tax'!E3,0)</f>
        <v>0</v>
      </c>
      <c r="J113" s="2">
        <f>IF($B$113="Yes",'Personal Income Tax'!F3,0)</f>
        <v>0</v>
      </c>
      <c r="K113" s="2">
        <f>IF($B$113="Yes",'Personal Income Tax'!G3,0)</f>
        <v>0</v>
      </c>
      <c r="L113" s="2">
        <f>IF($B$113="Yes",'Personal Income Tax'!H3,0)</f>
        <v>0</v>
      </c>
      <c r="M113" s="2">
        <f>IF($B$113="Yes",'Personal Income Tax'!I3,0)</f>
        <v>0</v>
      </c>
      <c r="N113" s="2">
        <f>IF($B$113="Yes",'Personal Income Tax'!J3,0)</f>
        <v>0</v>
      </c>
      <c r="O113" s="2">
        <f>IF($B$113="Yes",'Personal Income Tax'!K3,0)</f>
        <v>0</v>
      </c>
      <c r="P113" s="2">
        <f>IF($B$113="Yes",'Personal Income Tax'!L3,0)</f>
        <v>0</v>
      </c>
      <c r="Q113" s="2">
        <f>IF($B$113="Yes",'Personal Income Tax'!M3,0)</f>
        <v>0</v>
      </c>
      <c r="R113" s="2">
        <f>IF($B$113="Yes",'Personal Income Tax'!N3,0)</f>
        <v>0</v>
      </c>
      <c r="S113" s="2">
        <f>IF($B$113="Yes",'Personal Income Tax'!O3,0)</f>
        <v>0</v>
      </c>
      <c r="T113" s="2">
        <f>IF($B$113="Yes",'Personal Income Tax'!P3,0)</f>
        <v>0</v>
      </c>
      <c r="X113" s="11"/>
    </row>
    <row r="114" spans="1:24" ht="15.75" thickBot="1">
      <c r="A114" s="1085">
        <v>1</v>
      </c>
      <c r="B114" s="15">
        <f>A114*0.05</f>
        <v>0.05</v>
      </c>
      <c r="C114" s="10" t="s">
        <v>47</v>
      </c>
      <c r="D114" s="7"/>
      <c r="E114" s="7"/>
      <c r="F114" s="7"/>
      <c r="G114" s="7"/>
      <c r="H114" s="7"/>
      <c r="I114" s="7"/>
      <c r="J114" s="7"/>
      <c r="K114" s="7"/>
      <c r="L114" s="7"/>
      <c r="M114" s="7"/>
      <c r="N114" s="7"/>
      <c r="O114" s="7"/>
      <c r="P114" s="7"/>
      <c r="Q114" s="7"/>
      <c r="R114" s="7"/>
      <c r="S114" s="7"/>
      <c r="T114" s="7"/>
      <c r="X114" s="11"/>
    </row>
    <row r="115" spans="1:24" ht="15.75" thickBot="1">
      <c r="C115" s="40"/>
      <c r="D115" s="2"/>
      <c r="E115" s="12"/>
      <c r="F115" s="12"/>
      <c r="G115" s="12"/>
      <c r="H115" s="12"/>
      <c r="I115" s="12"/>
      <c r="J115" s="12"/>
      <c r="K115" s="12"/>
      <c r="L115" s="12"/>
      <c r="M115" s="12"/>
      <c r="N115" s="12"/>
      <c r="O115" s="12"/>
      <c r="P115" s="12"/>
      <c r="Q115" s="12"/>
      <c r="R115" s="12"/>
      <c r="S115" s="12"/>
      <c r="T115" s="12"/>
      <c r="X115" s="11"/>
    </row>
    <row r="116" spans="1:24" ht="15.75" thickBot="1">
      <c r="A116" s="1085" t="b">
        <v>0</v>
      </c>
      <c r="B116" s="13" t="str">
        <f>IF(A116=TRUE,"Yes","No")</f>
        <v>No</v>
      </c>
      <c r="C116" s="3" t="s">
        <v>798</v>
      </c>
      <c r="D116" s="7"/>
      <c r="E116" s="7"/>
      <c r="F116" s="2">
        <f>IF($B$116="Yes",'Capital Gains'!G12,0)</f>
        <v>0</v>
      </c>
      <c r="G116" s="2">
        <f>IF($B$116="Yes",'Capital Gains'!H12,0)</f>
        <v>0</v>
      </c>
      <c r="H116" s="2">
        <f>IF($B$116="Yes",'Capital Gains'!I12,0)</f>
        <v>0</v>
      </c>
      <c r="I116" s="2">
        <f>IF($B$116="Yes",'Capital Gains'!J12,0)</f>
        <v>0</v>
      </c>
      <c r="J116" s="2">
        <f>IF($B$116="Yes",'Capital Gains'!K12,0)</f>
        <v>0</v>
      </c>
      <c r="K116" s="2">
        <f>IF($B$116="Yes",'Capital Gains'!L12,0)</f>
        <v>0</v>
      </c>
      <c r="L116" s="2">
        <f>IF($B$116="Yes",'Capital Gains'!M12,0)</f>
        <v>0</v>
      </c>
      <c r="M116" s="2">
        <f>IF($B$116="Yes",'Capital Gains'!N12,0)</f>
        <v>0</v>
      </c>
      <c r="N116" s="2">
        <f>IF($B$116="Yes",'Capital Gains'!O12,0)</f>
        <v>0</v>
      </c>
      <c r="O116" s="2">
        <f>IF($B$116="Yes",'Capital Gains'!P12,0)</f>
        <v>0</v>
      </c>
      <c r="P116" s="2">
        <f>IF($B$116="Yes",'Capital Gains'!Q12,0)</f>
        <v>0</v>
      </c>
      <c r="Q116" s="2">
        <f>IF($B$116="Yes",'Capital Gains'!R12,0)</f>
        <v>0</v>
      </c>
      <c r="R116" s="2">
        <f>IF($B$116="Yes",'Capital Gains'!S12,0)</f>
        <v>0</v>
      </c>
      <c r="S116" s="2">
        <f>IF($B$116="Yes",'Capital Gains'!T12,0)</f>
        <v>0</v>
      </c>
      <c r="T116" s="2">
        <f>IF($B$116="Yes",'Capital Gains'!U12,0)</f>
        <v>0</v>
      </c>
      <c r="X116" s="11"/>
    </row>
    <row r="117" spans="1:24" ht="15.75" thickBot="1">
      <c r="A117" s="1085">
        <v>1</v>
      </c>
      <c r="B117" s="15">
        <f>A117*0.05</f>
        <v>0.05</v>
      </c>
      <c r="C117" s="10" t="s">
        <v>799</v>
      </c>
      <c r="D117" s="7"/>
      <c r="E117" s="7"/>
      <c r="F117" s="7"/>
      <c r="G117" s="7"/>
      <c r="H117" s="7"/>
      <c r="I117" s="7"/>
      <c r="J117" s="7"/>
      <c r="K117" s="7"/>
      <c r="L117" s="7"/>
      <c r="M117" s="7"/>
      <c r="N117" s="7"/>
      <c r="O117" s="7"/>
      <c r="P117" s="7"/>
      <c r="Q117" s="7"/>
      <c r="R117" s="7"/>
      <c r="S117" s="7"/>
      <c r="T117" s="7"/>
      <c r="X117" s="11"/>
    </row>
    <row r="118" spans="1:24" ht="7.5" customHeight="1" thickBot="1">
      <c r="C118" s="41"/>
      <c r="D118" s="2"/>
      <c r="E118" s="12"/>
      <c r="F118" s="12"/>
      <c r="G118" s="12"/>
      <c r="H118" s="12"/>
      <c r="I118" s="12"/>
      <c r="J118" s="12"/>
      <c r="K118" s="12"/>
      <c r="L118" s="12"/>
      <c r="M118" s="12"/>
      <c r="N118" s="12"/>
      <c r="O118" s="12"/>
      <c r="P118" s="12"/>
      <c r="Q118" s="12"/>
      <c r="R118" s="12"/>
      <c r="S118" s="12"/>
      <c r="T118" s="12"/>
      <c r="X118" s="11"/>
    </row>
    <row r="119" spans="1:24" ht="15.75" thickBot="1">
      <c r="A119" s="1085" t="b">
        <v>0</v>
      </c>
      <c r="B119" s="13" t="str">
        <f>IF(A119=TRUE,"Yes","No")</f>
        <v>No</v>
      </c>
      <c r="C119" s="3" t="s">
        <v>692</v>
      </c>
      <c r="D119" s="7"/>
      <c r="E119" s="7"/>
      <c r="F119" s="2">
        <f>IF($B$119="Yes",'Corp Income Tax'!G4,0)</f>
        <v>0</v>
      </c>
      <c r="G119" s="2">
        <f>IF($B$119="Yes",'Corp Income Tax'!H4,0)</f>
        <v>0</v>
      </c>
      <c r="H119" s="2">
        <f>IF($B$119="Yes",'Corp Income Tax'!I4,0)</f>
        <v>0</v>
      </c>
      <c r="I119" s="2">
        <f>IF($B$119="Yes",'Corp Income Tax'!J4,0)</f>
        <v>0</v>
      </c>
      <c r="J119" s="2">
        <f>IF($B$119="Yes",'Corp Income Tax'!K4,0)</f>
        <v>0</v>
      </c>
      <c r="K119" s="2">
        <f>IF($B$119="Yes",'Corp Income Tax'!L4,0)</f>
        <v>0</v>
      </c>
      <c r="L119" s="2">
        <f>IF($B$119="Yes",'Corp Income Tax'!M4,0)</f>
        <v>0</v>
      </c>
      <c r="M119" s="2">
        <f>IF($B$119="Yes",'Corp Income Tax'!N4,0)</f>
        <v>0</v>
      </c>
      <c r="N119" s="2">
        <f>IF($B$119="Yes",'Corp Income Tax'!O4,0)</f>
        <v>0</v>
      </c>
      <c r="O119" s="2">
        <f>IF($B$119="Yes",'Corp Income Tax'!P4,0)</f>
        <v>0</v>
      </c>
      <c r="P119" s="2">
        <f>IF($B$119="Yes",'Corp Income Tax'!Q4,0)</f>
        <v>0</v>
      </c>
      <c r="Q119" s="2">
        <f>IF($B$119="Yes",'Corp Income Tax'!R4,0)</f>
        <v>0</v>
      </c>
      <c r="R119" s="2">
        <f>IF($B$119="Yes",'Corp Income Tax'!S4,0)</f>
        <v>0</v>
      </c>
      <c r="S119" s="2">
        <f>IF($B$119="Yes",'Corp Income Tax'!T4,0)</f>
        <v>0</v>
      </c>
      <c r="T119" s="2">
        <f>IF($B$119="Yes",'Corp Income Tax'!U4,0)</f>
        <v>0</v>
      </c>
      <c r="X119" s="11"/>
    </row>
    <row r="120" spans="1:24" ht="15.75" thickBot="1">
      <c r="A120" s="1085">
        <v>1</v>
      </c>
      <c r="B120" s="15">
        <f>A120*0.01</f>
        <v>0.01</v>
      </c>
      <c r="C120" s="10" t="s">
        <v>693</v>
      </c>
      <c r="D120" s="7"/>
      <c r="E120" s="7"/>
      <c r="F120" s="7"/>
      <c r="G120" s="7"/>
      <c r="H120" s="7"/>
      <c r="I120" s="7"/>
      <c r="J120" s="7"/>
      <c r="K120" s="7"/>
      <c r="L120" s="7"/>
      <c r="M120" s="7"/>
      <c r="N120" s="7"/>
      <c r="O120" s="7"/>
      <c r="P120" s="7"/>
      <c r="Q120" s="7"/>
      <c r="R120" s="7"/>
      <c r="S120" s="7"/>
      <c r="T120" s="7"/>
      <c r="X120" s="11"/>
    </row>
    <row r="121" spans="1:24" ht="7.5" customHeight="1">
      <c r="C121" s="41"/>
      <c r="D121" s="2"/>
      <c r="E121" s="12"/>
      <c r="F121" s="12"/>
      <c r="G121" s="12"/>
      <c r="H121" s="12"/>
      <c r="I121" s="12"/>
      <c r="J121" s="12"/>
      <c r="K121" s="12"/>
      <c r="L121" s="12"/>
      <c r="M121" s="12"/>
      <c r="N121" s="12"/>
      <c r="O121" s="12"/>
      <c r="P121" s="12"/>
      <c r="Q121" s="12"/>
      <c r="R121" s="12"/>
      <c r="S121" s="12"/>
      <c r="T121" s="12"/>
      <c r="X121" s="11"/>
    </row>
    <row r="122" spans="1:24" ht="15.75" thickBot="1">
      <c r="C122" s="40" t="s">
        <v>48</v>
      </c>
      <c r="D122" s="2"/>
      <c r="E122" s="12"/>
      <c r="F122" s="12"/>
      <c r="G122" s="12"/>
      <c r="H122" s="12"/>
      <c r="I122" s="12"/>
      <c r="J122" s="12"/>
      <c r="K122" s="12"/>
      <c r="L122" s="12"/>
      <c r="M122" s="12"/>
      <c r="N122" s="12"/>
      <c r="O122" s="12"/>
      <c r="P122" s="12"/>
      <c r="Q122" s="12"/>
      <c r="R122" s="12"/>
      <c r="S122" s="12"/>
      <c r="T122" s="12"/>
      <c r="X122" s="11"/>
    </row>
    <row r="123" spans="1:24" ht="15.75" thickBot="1">
      <c r="A123" s="1085" t="b">
        <v>0</v>
      </c>
      <c r="B123" s="13" t="str">
        <f>IF(A123=TRUE,"Yes","No")</f>
        <v>No</v>
      </c>
      <c r="C123" s="3" t="s">
        <v>49</v>
      </c>
      <c r="D123" s="7"/>
      <c r="E123" s="7"/>
      <c r="F123" s="2">
        <f>IF($B123="Yes",Lottery!J4,0)</f>
        <v>0</v>
      </c>
      <c r="G123" s="2">
        <f>IF($B123="Yes",Lottery!K4,0)</f>
        <v>0</v>
      </c>
      <c r="H123" s="2">
        <f>IF($B123="Yes",Lottery!L4,0)</f>
        <v>0</v>
      </c>
      <c r="I123" s="2">
        <f>IF($B123="Yes",Lottery!M4,0)</f>
        <v>0</v>
      </c>
      <c r="J123" s="2">
        <f>IF($B123="Yes",Lottery!N4,0)</f>
        <v>0</v>
      </c>
      <c r="K123" s="2">
        <f>IF($B123="Yes",Lottery!O4,0)</f>
        <v>0</v>
      </c>
      <c r="L123" s="2">
        <f>IF($B123="Yes",Lottery!P4,0)</f>
        <v>0</v>
      </c>
      <c r="M123" s="2">
        <f>IF($B123="Yes",Lottery!Q4,0)</f>
        <v>0</v>
      </c>
      <c r="N123" s="2">
        <f>IF($B123="Yes",Lottery!R4,0)</f>
        <v>0</v>
      </c>
      <c r="O123" s="2">
        <f>IF($B123="Yes",Lottery!S4,0)</f>
        <v>0</v>
      </c>
      <c r="P123" s="2">
        <f>IF($B123="Yes",Lottery!T4,0)</f>
        <v>0</v>
      </c>
      <c r="Q123" s="2">
        <f>IF($B123="Yes",Lottery!U4,0)</f>
        <v>0</v>
      </c>
      <c r="R123" s="2">
        <f>IF($B123="Yes",Lottery!V4,0)</f>
        <v>0</v>
      </c>
      <c r="S123" s="2">
        <f>IF($B123="Yes",Lottery!W4,0)</f>
        <v>0</v>
      </c>
      <c r="T123" s="2">
        <f>IF($B123="Yes",Lottery!X4,0)</f>
        <v>0</v>
      </c>
      <c r="X123" s="11"/>
    </row>
    <row r="124" spans="1:24" ht="15.75" thickBot="1">
      <c r="A124" s="1085" t="b">
        <v>0</v>
      </c>
      <c r="B124" s="13" t="str">
        <f>IF(A124=TRUE,"Yes","No")</f>
        <v>No</v>
      </c>
      <c r="C124" s="3" t="s">
        <v>677</v>
      </c>
      <c r="D124" s="7"/>
      <c r="E124" s="7"/>
      <c r="F124" s="2">
        <f>IF($B124="Yes",'PFD lottery'!F17,0)</f>
        <v>0</v>
      </c>
      <c r="G124" s="2">
        <f>IF($B124="Yes",'PFD lottery'!G17,0)</f>
        <v>0</v>
      </c>
      <c r="H124" s="2">
        <f>IF($B124="Yes",'PFD lottery'!H17,0)</f>
        <v>0</v>
      </c>
      <c r="I124" s="2">
        <f>IF($B124="Yes",'PFD lottery'!I17,0)</f>
        <v>0</v>
      </c>
      <c r="J124" s="2">
        <f>IF($B124="Yes",'PFD lottery'!J17,0)</f>
        <v>0</v>
      </c>
      <c r="K124" s="2">
        <f>IF($B124="Yes",'PFD lottery'!K17,0)</f>
        <v>0</v>
      </c>
      <c r="L124" s="2">
        <f>IF($B124="Yes",'PFD lottery'!L17,0)</f>
        <v>0</v>
      </c>
      <c r="M124" s="2">
        <f>IF($B124="Yes",'PFD lottery'!M17,0)</f>
        <v>0</v>
      </c>
      <c r="N124" s="2">
        <f>IF($B124="Yes",'PFD lottery'!N17,0)</f>
        <v>0</v>
      </c>
      <c r="O124" s="2">
        <f>IF($B124="Yes",'PFD lottery'!O17,0)</f>
        <v>0</v>
      </c>
      <c r="P124" s="2">
        <f>IF($B124="Yes",'PFD lottery'!P17,0)</f>
        <v>0</v>
      </c>
      <c r="Q124" s="2">
        <f>IF($B124="Yes",'PFD lottery'!Q17,0)</f>
        <v>0</v>
      </c>
      <c r="R124" s="2">
        <f>IF($B124="Yes",'PFD lottery'!R17,0)</f>
        <v>0</v>
      </c>
      <c r="S124" s="2">
        <f>IF($B124="Yes",'PFD lottery'!S17,0)</f>
        <v>0</v>
      </c>
      <c r="T124" s="2">
        <f>IF($B124="Yes",'PFD lottery'!T17,0)</f>
        <v>0</v>
      </c>
      <c r="X124" s="11"/>
    </row>
    <row r="125" spans="1:24" ht="15.75" thickBot="1">
      <c r="A125" s="1085" t="b">
        <v>0</v>
      </c>
      <c r="B125" s="13" t="str">
        <f>IF(A125=TRUE,"Yes","No")</f>
        <v>No</v>
      </c>
      <c r="C125" s="3" t="s">
        <v>364</v>
      </c>
      <c r="D125" s="7"/>
      <c r="E125" s="7"/>
      <c r="F125" s="2">
        <f>IF($B125="Yes",Gaming!E3,0)</f>
        <v>0</v>
      </c>
      <c r="G125" s="2">
        <f>IF($B125="Yes",Gaming!F3,0)</f>
        <v>0</v>
      </c>
      <c r="H125" s="2">
        <f>IF($B125="Yes",Gaming!G3,0)</f>
        <v>0</v>
      </c>
      <c r="I125" s="2">
        <f>IF($B125="Yes",Gaming!H3,0)</f>
        <v>0</v>
      </c>
      <c r="J125" s="2">
        <f>IF($B125="Yes",Gaming!I3,0)</f>
        <v>0</v>
      </c>
      <c r="K125" s="2">
        <f>IF($B125="Yes",Gaming!J3,0)</f>
        <v>0</v>
      </c>
      <c r="L125" s="2">
        <f>IF($B125="Yes",Gaming!K3,0)</f>
        <v>0</v>
      </c>
      <c r="M125" s="2">
        <f>IF($B125="Yes",Gaming!L3,0)</f>
        <v>0</v>
      </c>
      <c r="N125" s="2">
        <f>IF($B125="Yes",Gaming!M3,0)</f>
        <v>0</v>
      </c>
      <c r="O125" s="2">
        <f>IF($B125="Yes",Gaming!N3,0)</f>
        <v>0</v>
      </c>
      <c r="P125" s="2">
        <f>IF($B125="Yes",Gaming!O3,0)</f>
        <v>0</v>
      </c>
      <c r="Q125" s="2">
        <f>IF($B125="Yes",Gaming!P3,0)</f>
        <v>0</v>
      </c>
      <c r="R125" s="2">
        <f>IF($B125="Yes",Gaming!Q3,0)</f>
        <v>0</v>
      </c>
      <c r="S125" s="2">
        <f>IF($B125="Yes",Gaming!R3,0)</f>
        <v>0</v>
      </c>
      <c r="T125" s="2">
        <f>IF($B125="Yes",Gaming!S3,0)</f>
        <v>0</v>
      </c>
      <c r="X125" s="11"/>
    </row>
    <row r="126" spans="1:24" ht="15.75" thickBot="1">
      <c r="A126" s="1085">
        <v>1</v>
      </c>
      <c r="B126" s="15">
        <f>CHOOSE(A126,1%,2%,3%,4%,5%)</f>
        <v>0.01</v>
      </c>
      <c r="C126" s="10" t="s">
        <v>365</v>
      </c>
      <c r="D126" s="7"/>
      <c r="E126" s="7"/>
      <c r="F126" s="7"/>
      <c r="G126" s="7"/>
      <c r="H126" s="7"/>
      <c r="I126" s="7"/>
      <c r="J126" s="7"/>
      <c r="K126" s="7"/>
      <c r="L126" s="7"/>
      <c r="M126" s="7"/>
      <c r="N126" s="7"/>
      <c r="O126" s="7"/>
      <c r="P126" s="7"/>
      <c r="Q126" s="7"/>
      <c r="R126" s="7"/>
      <c r="S126" s="7"/>
      <c r="T126" s="7"/>
    </row>
    <row r="127" spans="1:24" ht="15.75" thickBot="1">
      <c r="A127" s="1085" t="b">
        <v>0</v>
      </c>
      <c r="B127" s="13" t="str">
        <f>IF(A127=TRUE,"Yes","No")</f>
        <v>No</v>
      </c>
      <c r="C127" s="3" t="s">
        <v>367</v>
      </c>
      <c r="D127" s="7"/>
      <c r="E127" s="7"/>
      <c r="F127" s="2">
        <f>IF($B127="Yes",Gaming!E4,0)</f>
        <v>0</v>
      </c>
      <c r="G127" s="2">
        <f>IF($B127="Yes",Gaming!F4,0)</f>
        <v>0</v>
      </c>
      <c r="H127" s="2">
        <f>IF($B127="Yes",Gaming!G4,0)</f>
        <v>0</v>
      </c>
      <c r="I127" s="2">
        <f>IF($B127="Yes",Gaming!H4,0)</f>
        <v>0</v>
      </c>
      <c r="J127" s="2">
        <f>IF($B127="Yes",Gaming!I4,0)</f>
        <v>0</v>
      </c>
      <c r="K127" s="2">
        <f>IF($B127="Yes",Gaming!J4,0)</f>
        <v>0</v>
      </c>
      <c r="L127" s="2">
        <f>IF($B127="Yes",Gaming!K4,0)</f>
        <v>0</v>
      </c>
      <c r="M127" s="2">
        <f>IF($B127="Yes",Gaming!L4,0)</f>
        <v>0</v>
      </c>
      <c r="N127" s="2">
        <f>IF($B127="Yes",Gaming!M4,0)</f>
        <v>0</v>
      </c>
      <c r="O127" s="2">
        <f>IF($B127="Yes",Gaming!N4,0)</f>
        <v>0</v>
      </c>
      <c r="P127" s="2">
        <f>IF($B127="Yes",Gaming!O4,0)</f>
        <v>0</v>
      </c>
      <c r="Q127" s="2">
        <f>IF($B127="Yes",Gaming!P4,0)</f>
        <v>0</v>
      </c>
      <c r="R127" s="2">
        <f>IF($B127="Yes",Gaming!Q4,0)</f>
        <v>0</v>
      </c>
      <c r="S127" s="2">
        <f>IF($B127="Yes",Gaming!R4,0)</f>
        <v>0</v>
      </c>
      <c r="T127" s="2">
        <f>IF($B127="Yes",Gaming!S4,0)</f>
        <v>0</v>
      </c>
      <c r="X127" s="11"/>
    </row>
    <row r="128" spans="1:24" ht="15.75" thickBot="1">
      <c r="B128" s="315">
        <v>10000</v>
      </c>
      <c r="C128" s="10" t="s">
        <v>456</v>
      </c>
      <c r="D128" s="7"/>
      <c r="E128" s="7"/>
      <c r="F128" s="7"/>
      <c r="G128" s="7"/>
      <c r="H128" s="7"/>
      <c r="I128" s="7"/>
      <c r="J128" s="7"/>
      <c r="K128" s="7"/>
      <c r="L128" s="7"/>
      <c r="M128" s="7"/>
      <c r="N128" s="7"/>
      <c r="O128" s="7"/>
      <c r="P128" s="7"/>
      <c r="Q128" s="7"/>
      <c r="R128" s="7"/>
      <c r="S128" s="7"/>
      <c r="T128" s="7"/>
    </row>
    <row r="129" spans="1:24" ht="15.75" thickBot="1">
      <c r="B129" s="315">
        <v>10000</v>
      </c>
      <c r="C129" s="10" t="s">
        <v>457</v>
      </c>
      <c r="D129" s="7"/>
      <c r="E129" s="7"/>
      <c r="F129" s="7"/>
      <c r="G129" s="7"/>
      <c r="H129" s="7"/>
      <c r="I129" s="7"/>
      <c r="J129" s="7"/>
      <c r="K129" s="7"/>
      <c r="L129" s="7"/>
      <c r="M129" s="7"/>
      <c r="N129" s="7"/>
      <c r="O129" s="7"/>
      <c r="P129" s="7"/>
      <c r="Q129" s="7"/>
      <c r="R129" s="7"/>
      <c r="S129" s="7"/>
      <c r="T129" s="7"/>
    </row>
    <row r="130" spans="1:24" ht="15.75" thickBot="1">
      <c r="A130" s="1085" t="b">
        <v>0</v>
      </c>
      <c r="B130" s="13" t="str">
        <f>IF(A130=TRUE,"Yes","No")</f>
        <v>No</v>
      </c>
      <c r="C130" s="3" t="s">
        <v>366</v>
      </c>
      <c r="D130" s="7"/>
      <c r="E130" s="7"/>
      <c r="F130" s="2">
        <f>IF($B130="Yes",Gaming!E5,0)</f>
        <v>0</v>
      </c>
      <c r="G130" s="2">
        <f>IF($B130="Yes",Gaming!F5,0)</f>
        <v>0</v>
      </c>
      <c r="H130" s="2">
        <f>IF($B130="Yes",Gaming!G5,0)</f>
        <v>0</v>
      </c>
      <c r="I130" s="2">
        <f>IF($B130="Yes",Gaming!H5,0)</f>
        <v>0</v>
      </c>
      <c r="J130" s="2">
        <f>IF($B130="Yes",Gaming!I5,0)</f>
        <v>0</v>
      </c>
      <c r="K130" s="2">
        <f>IF($B130="Yes",Gaming!J5,0)</f>
        <v>0</v>
      </c>
      <c r="L130" s="2">
        <f>IF($B130="Yes",Gaming!K5,0)</f>
        <v>0</v>
      </c>
      <c r="M130" s="2">
        <f>IF($B130="Yes",Gaming!L5,0)</f>
        <v>0</v>
      </c>
      <c r="N130" s="2">
        <f>IF($B130="Yes",Gaming!M5,0)</f>
        <v>0</v>
      </c>
      <c r="O130" s="2">
        <f>IF($B130="Yes",Gaming!N5,0)</f>
        <v>0</v>
      </c>
      <c r="P130" s="2">
        <f>IF($B130="Yes",Gaming!O5,0)</f>
        <v>0</v>
      </c>
      <c r="Q130" s="2">
        <f>IF($B130="Yes",Gaming!P5,0)</f>
        <v>0</v>
      </c>
      <c r="R130" s="2">
        <f>IF($B130="Yes",Gaming!Q5,0)</f>
        <v>0</v>
      </c>
      <c r="S130" s="2">
        <f>IF($B130="Yes",Gaming!R5,0)</f>
        <v>0</v>
      </c>
      <c r="T130" s="2">
        <f>IF($B130="Yes",Gaming!S5,0)</f>
        <v>0</v>
      </c>
      <c r="X130" s="11"/>
    </row>
    <row r="131" spans="1:24" ht="15.75" thickBot="1">
      <c r="B131" s="15">
        <v>0.33</v>
      </c>
      <c r="C131" s="10" t="s">
        <v>368</v>
      </c>
      <c r="D131" s="7"/>
      <c r="E131" s="7"/>
      <c r="F131" s="7"/>
      <c r="G131" s="7"/>
      <c r="H131" s="7"/>
      <c r="I131" s="7"/>
      <c r="J131" s="7"/>
      <c r="K131" s="7"/>
      <c r="L131" s="7"/>
      <c r="M131" s="7"/>
      <c r="N131" s="7"/>
      <c r="O131" s="7"/>
      <c r="P131" s="7"/>
      <c r="Q131" s="7"/>
      <c r="R131" s="7"/>
      <c r="S131" s="7"/>
      <c r="T131" s="7"/>
    </row>
    <row r="132" spans="1:24" ht="7.5" customHeight="1">
      <c r="F132" s="2"/>
      <c r="G132" s="2"/>
      <c r="H132" s="2"/>
      <c r="I132" s="2"/>
      <c r="J132" s="2"/>
      <c r="K132" s="2"/>
      <c r="L132" s="2"/>
      <c r="M132" s="2"/>
      <c r="N132" s="2"/>
      <c r="O132" s="2"/>
      <c r="P132" s="2"/>
      <c r="Q132" s="2"/>
      <c r="R132" s="2"/>
      <c r="S132" s="2"/>
      <c r="T132" s="2"/>
    </row>
    <row r="133" spans="1:24" ht="15.75" thickBot="1">
      <c r="C133" s="40" t="s">
        <v>422</v>
      </c>
      <c r="D133" s="2"/>
      <c r="E133" s="12"/>
      <c r="F133" s="12"/>
      <c r="G133" s="12"/>
      <c r="H133" s="12"/>
      <c r="I133" s="12"/>
      <c r="J133" s="12"/>
      <c r="K133" s="12"/>
      <c r="L133" s="12"/>
      <c r="M133" s="12"/>
      <c r="N133" s="12"/>
      <c r="O133" s="12"/>
      <c r="P133" s="12"/>
      <c r="Q133" s="12"/>
      <c r="R133" s="12"/>
      <c r="S133" s="12"/>
      <c r="T133" s="12"/>
      <c r="X133" s="11"/>
    </row>
    <row r="134" spans="1:24" ht="15.75" thickBot="1">
      <c r="A134" s="1085" t="b">
        <v>0</v>
      </c>
      <c r="B134" s="13" t="str">
        <f>IF(A134=TRUE,"Yes","No")</f>
        <v>No</v>
      </c>
      <c r="C134" s="3" t="s">
        <v>420</v>
      </c>
      <c r="D134" s="7"/>
      <c r="E134" s="7"/>
      <c r="F134" s="2">
        <f>IF(OR($B$134="Yes",$B$136="Yes"),'Mining Tax'!E2,0)</f>
        <v>0</v>
      </c>
      <c r="G134" s="2">
        <f>IF(OR($B$134="Yes",$B$136="Yes"),'Mining Tax'!F2,0)</f>
        <v>0</v>
      </c>
      <c r="H134" s="2">
        <f>IF(OR($B$134="Yes",$B$136="Yes"),'Mining Tax'!G2,0)</f>
        <v>0</v>
      </c>
      <c r="I134" s="2">
        <f>IF(OR($B$134="Yes",$B$136="Yes"),'Mining Tax'!H2,0)</f>
        <v>0</v>
      </c>
      <c r="J134" s="2">
        <f>IF(OR($B$134="Yes",$B$136="Yes"),'Mining Tax'!I2,0)</f>
        <v>0</v>
      </c>
      <c r="K134" s="2">
        <f>IF(OR($B$134="Yes",$B$136="Yes"),'Mining Tax'!J2,0)</f>
        <v>0</v>
      </c>
      <c r="L134" s="2">
        <f>IF(OR($B$134="Yes",$B$136="Yes"),'Mining Tax'!K2,0)</f>
        <v>0</v>
      </c>
      <c r="M134" s="2">
        <f>IF(OR($B$134="Yes",$B$136="Yes"),'Mining Tax'!L2,0)</f>
        <v>0</v>
      </c>
      <c r="N134" s="2">
        <f>IF(OR($B$134="Yes",$B$136="Yes"),'Mining Tax'!M2,0)</f>
        <v>0</v>
      </c>
      <c r="O134" s="2">
        <f>IF(OR($B$134="Yes",$B$136="Yes"),'Mining Tax'!N2,0)</f>
        <v>0</v>
      </c>
      <c r="P134" s="2">
        <f>IF(OR($B$134="Yes",$B$136="Yes"),'Mining Tax'!O2,0)</f>
        <v>0</v>
      </c>
      <c r="Q134" s="2">
        <f>IF(OR($B$134="Yes",$B$136="Yes"),'Mining Tax'!P2,0)</f>
        <v>0</v>
      </c>
      <c r="R134" s="2">
        <f>IF(OR($B$134="Yes",$B$136="Yes"),'Mining Tax'!Q2,0)</f>
        <v>0</v>
      </c>
      <c r="S134" s="2">
        <f>IF(OR($B$134="Yes",$B$136="Yes"),'Mining Tax'!R2,0)</f>
        <v>0</v>
      </c>
      <c r="T134" s="2">
        <f>IF(OR($B$134="Yes",$B$136="Yes"),'Mining Tax'!S2,0)</f>
        <v>0</v>
      </c>
      <c r="X134" s="11"/>
    </row>
    <row r="135" spans="1:24" ht="15.75" thickBot="1">
      <c r="A135" s="1085">
        <v>1</v>
      </c>
      <c r="B135" s="15">
        <f>A135*0.01</f>
        <v>0.01</v>
      </c>
      <c r="C135" s="10" t="s">
        <v>421</v>
      </c>
      <c r="D135" s="7"/>
      <c r="E135" s="7"/>
      <c r="F135" s="7"/>
      <c r="G135" s="7"/>
      <c r="H135" s="7"/>
      <c r="I135" s="7"/>
      <c r="J135" s="7"/>
      <c r="K135" s="7"/>
      <c r="L135" s="7"/>
      <c r="M135" s="7"/>
      <c r="N135" s="7"/>
      <c r="O135" s="7"/>
      <c r="P135" s="7"/>
      <c r="Q135" s="7"/>
      <c r="R135" s="7"/>
      <c r="S135" s="7"/>
      <c r="T135" s="7"/>
      <c r="X135" s="11"/>
    </row>
    <row r="136" spans="1:24" ht="15.75" thickBot="1">
      <c r="A136" s="1085" t="b">
        <v>0</v>
      </c>
      <c r="B136" s="13" t="str">
        <f>IF(A136=TRUE,"Yes","No")</f>
        <v>No</v>
      </c>
      <c r="C136" s="356" t="s">
        <v>405</v>
      </c>
      <c r="D136" s="7"/>
      <c r="E136" s="7"/>
      <c r="F136" s="7"/>
      <c r="G136" s="7"/>
      <c r="H136" s="7"/>
      <c r="I136" s="7"/>
      <c r="J136" s="7"/>
      <c r="K136" s="7"/>
      <c r="L136" s="7"/>
      <c r="M136" s="7"/>
      <c r="N136" s="7"/>
      <c r="O136" s="7"/>
      <c r="P136" s="7"/>
      <c r="Q136" s="7"/>
      <c r="R136" s="7"/>
      <c r="S136" s="7"/>
      <c r="T136" s="7"/>
      <c r="X136" s="11"/>
    </row>
    <row r="137" spans="1:24" s="114" customFormat="1">
      <c r="A137" s="1086"/>
      <c r="B137" s="353"/>
      <c r="C137" s="354"/>
      <c r="D137" s="12"/>
      <c r="E137" s="12"/>
      <c r="F137" s="12"/>
      <c r="G137" s="12"/>
      <c r="H137" s="12"/>
      <c r="I137" s="12"/>
      <c r="J137" s="12"/>
      <c r="K137" s="12"/>
      <c r="L137" s="12"/>
      <c r="M137" s="12"/>
      <c r="N137" s="12"/>
      <c r="O137" s="12"/>
      <c r="P137" s="12"/>
      <c r="Q137" s="12"/>
      <c r="R137" s="12"/>
      <c r="S137" s="12"/>
      <c r="T137" s="12"/>
      <c r="X137" s="349"/>
    </row>
    <row r="138" spans="1:24" ht="15.75" thickBot="1">
      <c r="C138" s="40" t="s">
        <v>51</v>
      </c>
      <c r="D138" s="2"/>
      <c r="E138" s="12"/>
      <c r="F138" s="12"/>
      <c r="G138" s="12"/>
      <c r="H138" s="12"/>
      <c r="I138" s="12"/>
      <c r="J138" s="12"/>
      <c r="K138" s="12"/>
      <c r="L138" s="12"/>
      <c r="M138" s="12"/>
      <c r="N138" s="12"/>
      <c r="O138" s="12"/>
      <c r="P138" s="12"/>
      <c r="Q138" s="12"/>
      <c r="R138" s="12"/>
      <c r="S138" s="12"/>
      <c r="T138" s="12"/>
      <c r="X138" s="11"/>
    </row>
    <row r="139" spans="1:24" ht="15.75" thickBot="1">
      <c r="A139" s="1085" t="b">
        <v>0</v>
      </c>
      <c r="B139" s="13" t="str">
        <f>IF(A139=TRUE,"Yes","No")</f>
        <v>No</v>
      </c>
      <c r="C139" s="3" t="s">
        <v>52</v>
      </c>
      <c r="D139" s="7"/>
      <c r="E139" s="7"/>
      <c r="F139" s="2">
        <f>IF($B139="Yes",'School Tax'!B2,0)</f>
        <v>0</v>
      </c>
      <c r="G139" s="2">
        <f>IF($B139="Yes",'School Tax'!C2,0)</f>
        <v>0</v>
      </c>
      <c r="H139" s="2">
        <f>IF($B139="Yes",'School Tax'!D2,0)</f>
        <v>0</v>
      </c>
      <c r="I139" s="2">
        <f>IF($B139="Yes",'School Tax'!E2,0)</f>
        <v>0</v>
      </c>
      <c r="J139" s="2">
        <f>IF($B139="Yes",'School Tax'!F2,0)</f>
        <v>0</v>
      </c>
      <c r="K139" s="2">
        <f>IF($B139="Yes",'School Tax'!G2,0)</f>
        <v>0</v>
      </c>
      <c r="L139" s="2">
        <f>IF($B139="Yes",'School Tax'!H2,0)</f>
        <v>0</v>
      </c>
      <c r="M139" s="2">
        <f>IF($B139="Yes",'School Tax'!I2,0)</f>
        <v>0</v>
      </c>
      <c r="N139" s="2">
        <f>IF($B139="Yes",'School Tax'!J2,0)</f>
        <v>0</v>
      </c>
      <c r="O139" s="2">
        <f>IF($B139="Yes",'School Tax'!K2,0)</f>
        <v>0</v>
      </c>
      <c r="P139" s="2">
        <f>IF($B139="Yes",'School Tax'!L2,0)</f>
        <v>0</v>
      </c>
      <c r="Q139" s="2">
        <f>IF($B139="Yes",'School Tax'!M2,0)</f>
        <v>0</v>
      </c>
      <c r="R139" s="2">
        <f>IF($B139="Yes",'School Tax'!N2,0)</f>
        <v>0</v>
      </c>
      <c r="S139" s="2">
        <f>IF($B139="Yes",'School Tax'!O2,0)</f>
        <v>0</v>
      </c>
      <c r="T139" s="2">
        <f>IF($B139="Yes",'School Tax'!P2,0)</f>
        <v>0</v>
      </c>
      <c r="X139" s="11"/>
    </row>
    <row r="140" spans="1:24" ht="15.75" thickBot="1">
      <c r="A140" s="1085">
        <v>1</v>
      </c>
      <c r="B140" s="42">
        <f>CHOOSE(A140,100,300,500)</f>
        <v>100</v>
      </c>
      <c r="C140" s="10" t="s">
        <v>53</v>
      </c>
      <c r="D140" s="7"/>
      <c r="E140" s="7"/>
      <c r="F140" s="7"/>
      <c r="G140" s="7"/>
      <c r="H140" s="7"/>
      <c r="I140" s="7"/>
      <c r="J140" s="7"/>
      <c r="K140" s="7"/>
      <c r="L140" s="7"/>
      <c r="M140" s="7"/>
      <c r="N140" s="7"/>
      <c r="O140" s="7"/>
      <c r="P140" s="7"/>
      <c r="Q140" s="7"/>
      <c r="R140" s="7"/>
      <c r="S140" s="7"/>
      <c r="T140" s="7"/>
      <c r="X140" s="11"/>
    </row>
    <row r="141" spans="1:24" s="114" customFormat="1" ht="15.75" thickBot="1">
      <c r="A141" s="1086"/>
      <c r="B141" s="353"/>
      <c r="C141" s="354"/>
      <c r="D141" s="12"/>
      <c r="E141" s="12"/>
      <c r="F141" s="12"/>
      <c r="G141" s="12"/>
      <c r="H141" s="12"/>
      <c r="I141" s="12"/>
      <c r="J141" s="12"/>
      <c r="K141" s="12"/>
      <c r="L141" s="12"/>
      <c r="M141" s="12"/>
      <c r="N141" s="12"/>
      <c r="O141" s="12"/>
      <c r="P141" s="12"/>
      <c r="Q141" s="12"/>
      <c r="R141" s="12"/>
      <c r="S141" s="12"/>
      <c r="T141" s="12"/>
      <c r="X141" s="349"/>
    </row>
    <row r="142" spans="1:24" ht="15.75" thickBot="1">
      <c r="A142" s="1085" t="b">
        <v>0</v>
      </c>
      <c r="B142" s="13" t="str">
        <f>IF(A142=TRUE,"Yes","No")</f>
        <v>No</v>
      </c>
      <c r="C142" s="3" t="s">
        <v>795</v>
      </c>
      <c r="D142" s="7"/>
      <c r="E142" s="7"/>
      <c r="F142" s="2">
        <f>IF($B142="Yes",'SB 97'!I15,0)</f>
        <v>0</v>
      </c>
      <c r="G142" s="2">
        <f>IF($B142="Yes",'SB 97'!J15,0)</f>
        <v>0</v>
      </c>
      <c r="H142" s="2">
        <f>IF($B142="Yes",'SB 97'!K15,0)</f>
        <v>0</v>
      </c>
      <c r="I142" s="2">
        <f>IF($B142="Yes",'SB 97'!L15,0)</f>
        <v>0</v>
      </c>
      <c r="J142" s="2">
        <f>IF($B142="Yes",'SB 97'!M15,0)</f>
        <v>0</v>
      </c>
      <c r="K142" s="2">
        <f>IF($B142="Yes",'SB 97'!N15,0)</f>
        <v>0</v>
      </c>
      <c r="L142" s="2">
        <f>IF($B142="Yes",'SB 97'!O15,0)</f>
        <v>0</v>
      </c>
      <c r="M142" s="2">
        <f>IF($B142="Yes",'SB 97'!P15,0)</f>
        <v>0</v>
      </c>
      <c r="N142" s="2">
        <f>IF($B142="Yes",'SB 97'!Q15,0)</f>
        <v>0</v>
      </c>
      <c r="O142" s="2">
        <f>IF($B142="Yes",'SB 97'!R15,0)</f>
        <v>0</v>
      </c>
      <c r="P142" s="2">
        <f>IF($B142="Yes",'SB 97'!S15,0)</f>
        <v>0</v>
      </c>
      <c r="Q142" s="2">
        <f>IF($B142="Yes",'SB 97'!T15,0)</f>
        <v>0</v>
      </c>
      <c r="R142" s="2">
        <f>IF($B142="Yes",'SB 97'!U15,0)</f>
        <v>0</v>
      </c>
      <c r="S142" s="2">
        <f>IF($B142="Yes",'SB 97'!V15,0)</f>
        <v>0</v>
      </c>
      <c r="T142" s="2">
        <f>IF($B142="Yes",'SB 97'!W15,0)</f>
        <v>0</v>
      </c>
      <c r="X142" s="11"/>
    </row>
    <row r="143" spans="1:24">
      <c r="B143" s="10"/>
      <c r="C143" s="10"/>
      <c r="D143" s="7"/>
      <c r="E143" s="7"/>
      <c r="F143" s="7"/>
      <c r="G143" s="7"/>
      <c r="H143" s="7"/>
      <c r="I143" s="7"/>
      <c r="J143" s="7"/>
      <c r="K143" s="7"/>
      <c r="L143" s="7"/>
      <c r="M143" s="7"/>
      <c r="N143" s="7"/>
      <c r="O143" s="7"/>
      <c r="P143" s="7"/>
      <c r="Q143" s="7"/>
      <c r="R143" s="7"/>
      <c r="S143" s="7"/>
      <c r="T143" s="7"/>
      <c r="X143" s="11"/>
    </row>
    <row r="144" spans="1:24" ht="7.5" customHeight="1">
      <c r="B144" s="14"/>
      <c r="C144" s="10"/>
      <c r="D144" s="2"/>
      <c r="E144" s="12"/>
      <c r="F144" s="12"/>
      <c r="G144" s="12"/>
      <c r="H144" s="12"/>
      <c r="I144" s="12"/>
      <c r="J144" s="12"/>
      <c r="K144" s="12"/>
      <c r="L144" s="12"/>
      <c r="M144" s="12"/>
      <c r="N144" s="12"/>
      <c r="O144" s="12"/>
      <c r="P144" s="12"/>
      <c r="Q144" s="12"/>
      <c r="R144" s="12"/>
      <c r="S144" s="12"/>
      <c r="T144" s="12"/>
      <c r="X144" s="11"/>
    </row>
    <row r="145" spans="1:24" ht="15.75" thickBot="1">
      <c r="B145" s="14"/>
      <c r="C145" s="40" t="s">
        <v>55</v>
      </c>
      <c r="D145" s="2"/>
      <c r="E145" s="12"/>
      <c r="F145" s="12"/>
      <c r="G145" s="12"/>
      <c r="H145" s="12"/>
      <c r="I145" s="12"/>
      <c r="J145" s="12"/>
      <c r="K145" s="12"/>
      <c r="L145" s="12"/>
      <c r="M145" s="12"/>
      <c r="N145" s="12"/>
      <c r="O145" s="12"/>
      <c r="P145" s="12"/>
      <c r="Q145" s="12"/>
      <c r="R145" s="12"/>
      <c r="S145" s="12"/>
      <c r="T145" s="12"/>
      <c r="X145" s="11"/>
    </row>
    <row r="146" spans="1:24" ht="15.75" thickBot="1">
      <c r="A146" s="1085" t="b">
        <v>0</v>
      </c>
      <c r="B146" s="13" t="str">
        <f>IF(A146=TRUE,"Yes","No")</f>
        <v>No</v>
      </c>
      <c r="C146" s="3" t="s">
        <v>55</v>
      </c>
      <c r="D146" s="7"/>
      <c r="E146" s="7"/>
      <c r="F146" s="2">
        <f>IF($B146="Yes",'Property Tax'!F4,0)</f>
        <v>0</v>
      </c>
      <c r="G146" s="2">
        <f>IF($B146="Yes",'Property Tax'!G4,0)</f>
        <v>0</v>
      </c>
      <c r="H146" s="2">
        <f>IF($B146="Yes",'Property Tax'!H4,0)</f>
        <v>0</v>
      </c>
      <c r="I146" s="2">
        <f>IF($B146="Yes",'Property Tax'!I4,0)</f>
        <v>0</v>
      </c>
      <c r="J146" s="2">
        <f>IF($B146="Yes",'Property Tax'!J4,0)</f>
        <v>0</v>
      </c>
      <c r="K146" s="2">
        <f>IF($B146="Yes",'Property Tax'!K4,0)</f>
        <v>0</v>
      </c>
      <c r="L146" s="2">
        <f>IF($B146="Yes",'Property Tax'!L4,0)</f>
        <v>0</v>
      </c>
      <c r="M146" s="2">
        <f>IF($B146="Yes",'Property Tax'!M4,0)</f>
        <v>0</v>
      </c>
      <c r="N146" s="2">
        <f>IF($B146="Yes",'Property Tax'!N4,0)</f>
        <v>0</v>
      </c>
      <c r="O146" s="2">
        <f>IF($B146="Yes",'Property Tax'!O4,0)</f>
        <v>0</v>
      </c>
      <c r="P146" s="2">
        <f>IF($B146="Yes",'Property Tax'!P4,0)</f>
        <v>0</v>
      </c>
      <c r="Q146" s="2">
        <f>IF($B146="Yes",'Property Tax'!Q4,0)</f>
        <v>0</v>
      </c>
      <c r="R146" s="2">
        <f>IF($B146="Yes",'Property Tax'!R4,0)</f>
        <v>0</v>
      </c>
      <c r="S146" s="2">
        <f>IF($B146="Yes",'Property Tax'!S4,0)</f>
        <v>0</v>
      </c>
      <c r="T146" s="2">
        <f>IF($B146="Yes",'Property Tax'!T4,0)</f>
        <v>0</v>
      </c>
      <c r="X146" s="11"/>
    </row>
    <row r="147" spans="1:24" ht="15.75" thickBot="1">
      <c r="A147" s="1085">
        <v>1</v>
      </c>
      <c r="B147" s="17">
        <f>INDEX('Property Tax'!A2:A7,'All Rev &amp; Projects'!A147)</f>
        <v>1E-3</v>
      </c>
      <c r="C147" s="10" t="s">
        <v>354</v>
      </c>
      <c r="D147" s="7"/>
      <c r="E147" s="7"/>
      <c r="F147" s="7"/>
      <c r="G147" s="7"/>
      <c r="H147" s="7"/>
      <c r="I147" s="7"/>
      <c r="J147" s="7"/>
      <c r="K147" s="7"/>
      <c r="L147" s="7"/>
      <c r="M147" s="7"/>
      <c r="N147" s="7"/>
      <c r="O147" s="7"/>
      <c r="P147" s="7"/>
      <c r="Q147" s="7"/>
      <c r="R147" s="7"/>
      <c r="S147" s="7"/>
      <c r="T147" s="7"/>
      <c r="X147" s="11"/>
    </row>
    <row r="148" spans="1:24" ht="7.5" customHeight="1">
      <c r="B148" s="14"/>
      <c r="C148" s="2"/>
      <c r="D148" s="2"/>
      <c r="E148" s="12"/>
      <c r="F148" s="12"/>
      <c r="G148" s="12"/>
      <c r="H148" s="12"/>
      <c r="I148" s="12"/>
      <c r="J148" s="12"/>
      <c r="K148" s="12"/>
      <c r="L148" s="12"/>
      <c r="M148" s="12"/>
      <c r="N148" s="12"/>
      <c r="O148" s="12"/>
      <c r="P148" s="12"/>
      <c r="Q148" s="12"/>
      <c r="R148" s="12"/>
      <c r="S148" s="12"/>
      <c r="T148" s="12"/>
      <c r="X148" s="11"/>
    </row>
    <row r="149" spans="1:24" ht="15.75" thickBot="1">
      <c r="B149" s="14"/>
      <c r="C149" s="40" t="s">
        <v>56</v>
      </c>
      <c r="D149" s="2"/>
      <c r="E149" s="12"/>
      <c r="F149" s="12"/>
      <c r="G149" s="12"/>
      <c r="H149" s="12"/>
      <c r="I149" s="12"/>
      <c r="J149" s="12"/>
      <c r="K149" s="12"/>
      <c r="L149" s="12"/>
      <c r="M149" s="12"/>
      <c r="N149" s="12"/>
      <c r="O149" s="12"/>
      <c r="P149" s="12"/>
      <c r="Q149" s="12"/>
      <c r="R149" s="12"/>
      <c r="S149" s="12"/>
      <c r="T149" s="12"/>
      <c r="X149" s="11"/>
    </row>
    <row r="150" spans="1:24" ht="15.75" thickBot="1">
      <c r="A150" s="1085" t="b">
        <v>0</v>
      </c>
      <c r="B150" s="13" t="str">
        <f>IF(A150=TRUE,"Yes","No")</f>
        <v>No</v>
      </c>
      <c r="C150" s="3" t="s">
        <v>56</v>
      </c>
      <c r="D150" s="7"/>
      <c r="E150" s="7"/>
      <c r="F150" s="12">
        <f>IF($B150="Yes",'Health Care Provider Tax'!C3,0)</f>
        <v>0</v>
      </c>
      <c r="G150" s="12">
        <f>IF($B150="Yes",'Health Care Provider Tax'!D3,0)</f>
        <v>0</v>
      </c>
      <c r="H150" s="12">
        <f>IF($B150="Yes",'Health Care Provider Tax'!E3,0)</f>
        <v>0</v>
      </c>
      <c r="I150" s="12">
        <f>IF($B150="Yes",'Health Care Provider Tax'!F3,0)</f>
        <v>0</v>
      </c>
      <c r="J150" s="12">
        <f>IF($B150="Yes",'Health Care Provider Tax'!G3,0)</f>
        <v>0</v>
      </c>
      <c r="K150" s="12">
        <f>IF($B150="Yes",'Health Care Provider Tax'!H3,0)</f>
        <v>0</v>
      </c>
      <c r="L150" s="12">
        <f>IF($B150="Yes",'Health Care Provider Tax'!I3,0)</f>
        <v>0</v>
      </c>
      <c r="M150" s="12">
        <f>IF($B150="Yes",'Health Care Provider Tax'!J3,0)</f>
        <v>0</v>
      </c>
      <c r="N150" s="12">
        <f>IF($B150="Yes",'Health Care Provider Tax'!K3,0)</f>
        <v>0</v>
      </c>
      <c r="O150" s="12">
        <f>IF($B150="Yes",'Health Care Provider Tax'!L3,0)</f>
        <v>0</v>
      </c>
      <c r="P150" s="12">
        <f>IF($B150="Yes",'Health Care Provider Tax'!M3,0)</f>
        <v>0</v>
      </c>
      <c r="Q150" s="12">
        <f>IF($B150="Yes",'Health Care Provider Tax'!N3,0)</f>
        <v>0</v>
      </c>
      <c r="R150" s="12">
        <f>IF($B150="Yes",'Health Care Provider Tax'!O3,0)</f>
        <v>0</v>
      </c>
      <c r="S150" s="12">
        <f>IF($B150="Yes",'Health Care Provider Tax'!P3,0)</f>
        <v>0</v>
      </c>
      <c r="T150" s="12">
        <f>IF($B150="Yes",'Health Care Provider Tax'!Q3,0)</f>
        <v>0</v>
      </c>
      <c r="X150" s="11"/>
    </row>
    <row r="151" spans="1:24" ht="15.75" thickBot="1">
      <c r="B151" s="15">
        <v>0.01</v>
      </c>
      <c r="C151" s="10" t="s">
        <v>293</v>
      </c>
      <c r="D151" s="7"/>
      <c r="E151" s="7"/>
      <c r="F151" s="7"/>
      <c r="G151" s="7"/>
      <c r="H151" s="7"/>
      <c r="I151" s="7"/>
      <c r="J151" s="7"/>
      <c r="K151" s="7"/>
      <c r="L151" s="7"/>
      <c r="M151" s="7"/>
      <c r="N151" s="7"/>
      <c r="O151" s="7"/>
      <c r="P151" s="7"/>
      <c r="Q151" s="7"/>
      <c r="R151" s="7"/>
      <c r="S151" s="7"/>
      <c r="T151" s="7"/>
      <c r="X151" s="11"/>
    </row>
    <row r="152" spans="1:24" ht="7.5" customHeight="1">
      <c r="B152" s="14"/>
      <c r="C152" s="10"/>
      <c r="D152" s="2"/>
      <c r="E152" s="12"/>
      <c r="F152" s="12"/>
      <c r="G152" s="12"/>
      <c r="H152" s="12"/>
      <c r="I152" s="12"/>
      <c r="J152" s="12"/>
      <c r="K152" s="12"/>
      <c r="L152" s="12"/>
      <c r="M152" s="12"/>
      <c r="N152" s="12"/>
      <c r="O152" s="12"/>
      <c r="P152" s="12"/>
      <c r="Q152" s="12"/>
      <c r="R152" s="12"/>
      <c r="S152" s="12"/>
      <c r="T152" s="12"/>
      <c r="X152" s="11"/>
    </row>
    <row r="153" spans="1:24" ht="15" customHeight="1" thickBot="1">
      <c r="B153" s="14"/>
      <c r="C153" s="40" t="s">
        <v>57</v>
      </c>
      <c r="F153" s="12"/>
      <c r="G153" s="12"/>
      <c r="H153" s="12"/>
      <c r="I153" s="12"/>
      <c r="J153" s="12"/>
      <c r="K153" s="12"/>
      <c r="L153" s="12"/>
      <c r="M153" s="12"/>
      <c r="N153" s="12"/>
      <c r="O153" s="12"/>
      <c r="P153" s="12"/>
      <c r="Q153" s="12"/>
      <c r="R153" s="12"/>
      <c r="S153" s="12"/>
      <c r="T153" s="12"/>
      <c r="X153" s="11"/>
    </row>
    <row r="154" spans="1:24" ht="15" customHeight="1" thickBot="1">
      <c r="A154" s="1085" t="b">
        <v>0</v>
      </c>
      <c r="B154" s="13" t="str">
        <f>IF(A154=TRUE,"Yes","No")</f>
        <v>No</v>
      </c>
      <c r="C154" s="3" t="s">
        <v>292</v>
      </c>
      <c r="D154" s="7"/>
      <c r="E154" s="7"/>
      <c r="F154" s="2">
        <f>IF($B154="Yes",'Child Support Fee'!B2,0)</f>
        <v>0</v>
      </c>
      <c r="G154" s="2">
        <f>IF($B154="Yes",'Child Support Fee'!C2,0)</f>
        <v>0</v>
      </c>
      <c r="H154" s="2">
        <f>IF($B154="Yes",'Child Support Fee'!D2,0)</f>
        <v>0</v>
      </c>
      <c r="I154" s="2">
        <f>IF($B154="Yes",'Child Support Fee'!E2,0)</f>
        <v>0</v>
      </c>
      <c r="J154" s="2">
        <f>IF($B154="Yes",'Child Support Fee'!F2,0)</f>
        <v>0</v>
      </c>
      <c r="K154" s="2">
        <f>IF($B154="Yes",'Child Support Fee'!G2,0)</f>
        <v>0</v>
      </c>
      <c r="L154" s="2">
        <f>IF($B154="Yes",'Child Support Fee'!H2,0)</f>
        <v>0</v>
      </c>
      <c r="M154" s="2">
        <f>IF($B154="Yes",'Child Support Fee'!I2,0)</f>
        <v>0</v>
      </c>
      <c r="N154" s="2">
        <f>IF($B154="Yes",'Child Support Fee'!J2,0)</f>
        <v>0</v>
      </c>
      <c r="O154" s="2">
        <f>IF($B154="Yes",'Child Support Fee'!K2,0)</f>
        <v>0</v>
      </c>
      <c r="P154" s="2">
        <f>IF($B154="Yes",'Child Support Fee'!L2,0)</f>
        <v>0</v>
      </c>
      <c r="Q154" s="2">
        <f>IF($B154="Yes",'Child Support Fee'!M2,0)</f>
        <v>0</v>
      </c>
      <c r="R154" s="2">
        <f>IF($B154="Yes",'Child Support Fee'!N2,0)</f>
        <v>0</v>
      </c>
      <c r="S154" s="2">
        <f>IF($B154="Yes",'Child Support Fee'!O2,0)</f>
        <v>0</v>
      </c>
      <c r="T154" s="2">
        <f>IF($B154="Yes",'Child Support Fee'!P2,0)</f>
        <v>0</v>
      </c>
      <c r="X154" s="11"/>
    </row>
    <row r="155" spans="1:24" ht="15" customHeight="1" thickBot="1">
      <c r="B155" s="42">
        <v>25</v>
      </c>
      <c r="C155" s="10" t="s">
        <v>288</v>
      </c>
      <c r="D155" s="7"/>
      <c r="E155" s="7"/>
      <c r="F155" s="7"/>
      <c r="G155" s="7"/>
      <c r="H155" s="7"/>
      <c r="I155" s="7"/>
      <c r="J155" s="7"/>
      <c r="K155" s="7"/>
      <c r="L155" s="7"/>
      <c r="M155" s="7"/>
      <c r="N155" s="7"/>
      <c r="O155" s="7"/>
      <c r="P155" s="7"/>
      <c r="Q155" s="7"/>
      <c r="R155" s="7"/>
      <c r="S155" s="7"/>
      <c r="T155" s="7"/>
      <c r="X155" s="11"/>
    </row>
    <row r="156" spans="1:24" ht="15" customHeight="1">
      <c r="B156" s="14"/>
      <c r="C156" s="10"/>
      <c r="D156" s="2"/>
      <c r="E156" s="12"/>
      <c r="F156" s="12"/>
      <c r="G156" s="12"/>
      <c r="H156" s="12"/>
      <c r="I156" s="12"/>
      <c r="J156" s="12"/>
      <c r="K156" s="12"/>
      <c r="L156" s="12"/>
      <c r="M156" s="12"/>
      <c r="N156" s="12"/>
      <c r="O156" s="12"/>
      <c r="P156" s="12"/>
      <c r="Q156" s="12"/>
      <c r="R156" s="12"/>
      <c r="S156" s="12"/>
      <c r="T156" s="12"/>
      <c r="X156" s="11"/>
    </row>
    <row r="157" spans="1:24" ht="15.75" thickBot="1">
      <c r="C157" s="40" t="s">
        <v>816</v>
      </c>
      <c r="D157" s="2"/>
      <c r="E157" s="12"/>
      <c r="F157" s="12"/>
      <c r="G157" s="12"/>
      <c r="H157" s="12"/>
      <c r="I157" s="12"/>
      <c r="J157" s="12"/>
      <c r="K157" s="12"/>
      <c r="L157" s="12"/>
      <c r="M157" s="12"/>
      <c r="N157" s="12"/>
      <c r="O157" s="12"/>
      <c r="P157" s="12"/>
      <c r="Q157" s="12"/>
      <c r="R157" s="12"/>
      <c r="S157" s="12"/>
      <c r="T157" s="12"/>
      <c r="X157" s="11"/>
    </row>
    <row r="158" spans="1:24" ht="15.75" thickBot="1">
      <c r="A158" s="1085" t="b">
        <v>0</v>
      </c>
      <c r="B158" s="13" t="str">
        <f>IF(A158=TRUE,"Yes","No")</f>
        <v>No</v>
      </c>
      <c r="C158" s="3" t="s">
        <v>817</v>
      </c>
      <c r="D158" s="7"/>
      <c r="E158" s="7"/>
      <c r="F158" s="2">
        <f>IF($B158="Yes",'Alcohol Tax'!E4,0)</f>
        <v>0</v>
      </c>
      <c r="G158" s="2">
        <f>IF($B158="Yes",'Alcohol Tax'!F4,0)</f>
        <v>0</v>
      </c>
      <c r="H158" s="2">
        <f>IF($B158="Yes",'Alcohol Tax'!G4,0)</f>
        <v>0</v>
      </c>
      <c r="I158" s="2">
        <f>IF($B158="Yes",'Alcohol Tax'!H4,0)</f>
        <v>0</v>
      </c>
      <c r="J158" s="2">
        <f>IF($B158="Yes",'Alcohol Tax'!I4,0)</f>
        <v>0</v>
      </c>
      <c r="K158" s="2">
        <f>IF($B158="Yes",'Alcohol Tax'!J4,0)</f>
        <v>0</v>
      </c>
      <c r="L158" s="2">
        <f>IF($B158="Yes",'Alcohol Tax'!K4,0)</f>
        <v>0</v>
      </c>
      <c r="M158" s="2">
        <f>IF($B158="Yes",'Alcohol Tax'!L4,0)</f>
        <v>0</v>
      </c>
      <c r="N158" s="2">
        <f>IF($B158="Yes",'Alcohol Tax'!M4,0)</f>
        <v>0</v>
      </c>
      <c r="O158" s="2">
        <f>IF($B158="Yes",'Alcohol Tax'!N4,0)</f>
        <v>0</v>
      </c>
      <c r="P158" s="2">
        <f>IF($B158="Yes",'Alcohol Tax'!O4,0)</f>
        <v>0</v>
      </c>
      <c r="Q158" s="2">
        <f>IF($B158="Yes",'Alcohol Tax'!P4,0)</f>
        <v>0</v>
      </c>
      <c r="R158" s="2">
        <f>IF($B158="Yes",'Alcohol Tax'!Q4,0)</f>
        <v>0</v>
      </c>
      <c r="S158" s="2">
        <f>IF($B158="Yes",'Alcohol Tax'!R4,0)</f>
        <v>0</v>
      </c>
      <c r="T158" s="2">
        <f>IF($B158="Yes",'Alcohol Tax'!S4,0)</f>
        <v>0</v>
      </c>
      <c r="X158" s="11"/>
    </row>
    <row r="159" spans="1:24" ht="15.75" thickBot="1">
      <c r="A159" s="1085">
        <v>1</v>
      </c>
      <c r="B159" s="16">
        <f>A159*0.05</f>
        <v>0.05</v>
      </c>
      <c r="C159" s="10" t="s">
        <v>818</v>
      </c>
      <c r="D159" s="7"/>
      <c r="E159" s="7"/>
      <c r="F159" s="7"/>
      <c r="G159" s="7"/>
      <c r="H159" s="7"/>
      <c r="I159" s="7"/>
      <c r="J159" s="7"/>
      <c r="K159" s="7"/>
      <c r="L159" s="7"/>
      <c r="M159" s="7"/>
      <c r="N159" s="7"/>
      <c r="O159" s="7"/>
      <c r="P159" s="7"/>
      <c r="Q159" s="7"/>
      <c r="R159" s="7"/>
      <c r="S159" s="7"/>
      <c r="T159" s="7"/>
      <c r="X159" s="11"/>
    </row>
    <row r="160" spans="1:24" ht="15.75" thickBot="1">
      <c r="A160" s="1085" t="b">
        <v>0</v>
      </c>
      <c r="B160" s="13" t="str">
        <f>IF(A160=TRUE,"Yes","No")</f>
        <v>No</v>
      </c>
      <c r="C160" s="3" t="s">
        <v>820</v>
      </c>
      <c r="D160" s="7"/>
      <c r="E160" s="7"/>
      <c r="F160" s="2">
        <f>IF($B160="Yes",Tobacco!E2,0)</f>
        <v>0</v>
      </c>
      <c r="G160" s="2">
        <f>IF($B160="Yes",Tobacco!F2,0)</f>
        <v>0</v>
      </c>
      <c r="H160" s="2">
        <f>IF($B160="Yes",Tobacco!G2,0)</f>
        <v>0</v>
      </c>
      <c r="I160" s="2">
        <f>IF($B160="Yes",Tobacco!H2,0)</f>
        <v>0</v>
      </c>
      <c r="J160" s="2">
        <f>IF($B160="Yes",Tobacco!I2,0)</f>
        <v>0</v>
      </c>
      <c r="K160" s="2">
        <f>IF($B160="Yes",Tobacco!J2,0)</f>
        <v>0</v>
      </c>
      <c r="L160" s="2">
        <f>IF($B160="Yes",Tobacco!K2,0)</f>
        <v>0</v>
      </c>
      <c r="M160" s="2">
        <f>IF($B160="Yes",Tobacco!L2,0)</f>
        <v>0</v>
      </c>
      <c r="N160" s="2">
        <f>IF($B160="Yes",Tobacco!M2,0)</f>
        <v>0</v>
      </c>
      <c r="O160" s="2">
        <f>IF($B160="Yes",Tobacco!N2,0)</f>
        <v>0</v>
      </c>
      <c r="P160" s="2">
        <f>IF($B160="Yes",Tobacco!O2,0)</f>
        <v>0</v>
      </c>
      <c r="Q160" s="2">
        <f>IF($B160="Yes",Tobacco!P2,0)</f>
        <v>0</v>
      </c>
      <c r="R160" s="2">
        <f>IF($B160="Yes",Tobacco!Q2,0)</f>
        <v>0</v>
      </c>
      <c r="S160" s="2">
        <f>IF($B160="Yes",Tobacco!R2,0)</f>
        <v>0</v>
      </c>
      <c r="T160" s="2">
        <f>IF($B160="Yes",Tobacco!S2,0)</f>
        <v>0</v>
      </c>
      <c r="X160" s="11"/>
    </row>
    <row r="161" spans="1:24" ht="15.75" thickBot="1">
      <c r="A161" s="1085">
        <v>1</v>
      </c>
      <c r="B161" s="1028">
        <f>A161*0.01</f>
        <v>0.01</v>
      </c>
      <c r="C161" s="10" t="s">
        <v>818</v>
      </c>
      <c r="D161" s="7"/>
      <c r="E161" s="7"/>
      <c r="F161" s="7"/>
      <c r="G161" s="7"/>
      <c r="H161" s="7"/>
      <c r="I161" s="7"/>
      <c r="J161" s="7"/>
      <c r="K161" s="7"/>
      <c r="L161" s="7"/>
      <c r="M161" s="7"/>
      <c r="N161" s="7"/>
      <c r="O161" s="7"/>
      <c r="P161" s="7"/>
      <c r="Q161" s="7"/>
      <c r="R161" s="7"/>
      <c r="S161" s="7"/>
      <c r="T161" s="7"/>
      <c r="X161" s="11"/>
    </row>
    <row r="162" spans="1:24" ht="15.75" thickBot="1">
      <c r="A162" s="1085" t="b">
        <v>0</v>
      </c>
      <c r="B162" s="13" t="str">
        <f>IF(A162=TRUE,"Yes","No")</f>
        <v>No</v>
      </c>
      <c r="C162" s="3" t="s">
        <v>819</v>
      </c>
      <c r="D162" s="7"/>
      <c r="E162" s="7"/>
      <c r="F162" s="2">
        <f>IF($B162="Yes",Tobacco!E3,0)</f>
        <v>0</v>
      </c>
      <c r="G162" s="2">
        <f>IF($B162="Yes",Tobacco!F3,0)</f>
        <v>0</v>
      </c>
      <c r="H162" s="2">
        <f>IF($B162="Yes",Tobacco!G3,0)</f>
        <v>0</v>
      </c>
      <c r="I162" s="2">
        <f>IF($B162="Yes",Tobacco!H3,0)</f>
        <v>0</v>
      </c>
      <c r="J162" s="2">
        <f>IF($B162="Yes",Tobacco!I3,0)</f>
        <v>0</v>
      </c>
      <c r="K162" s="2">
        <f>IF($B162="Yes",Tobacco!J3,0)</f>
        <v>0</v>
      </c>
      <c r="L162" s="2">
        <f>IF($B162="Yes",Tobacco!K3,0)</f>
        <v>0</v>
      </c>
      <c r="M162" s="2">
        <f>IF($B162="Yes",Tobacco!L3,0)</f>
        <v>0</v>
      </c>
      <c r="N162" s="2">
        <f>IF($B162="Yes",Tobacco!M3,0)</f>
        <v>0</v>
      </c>
      <c r="O162" s="2">
        <f>IF($B162="Yes",Tobacco!N3,0)</f>
        <v>0</v>
      </c>
      <c r="P162" s="2">
        <f>IF($B162="Yes",Tobacco!O3,0)</f>
        <v>0</v>
      </c>
      <c r="Q162" s="2">
        <f>IF($B162="Yes",Tobacco!P3,0)</f>
        <v>0</v>
      </c>
      <c r="R162" s="2">
        <f>IF($B162="Yes",Tobacco!Q3,0)</f>
        <v>0</v>
      </c>
      <c r="S162" s="2">
        <f>IF($B162="Yes",Tobacco!R3,0)</f>
        <v>0</v>
      </c>
      <c r="T162" s="2">
        <f>IF($B162="Yes",Tobacco!S3,0)</f>
        <v>0</v>
      </c>
      <c r="X162" s="11"/>
    </row>
    <row r="163" spans="1:24" ht="15.75" thickBot="1">
      <c r="A163" s="1085">
        <v>1</v>
      </c>
      <c r="B163" s="16">
        <f>A163*0.05</f>
        <v>0.05</v>
      </c>
      <c r="C163" s="10" t="s">
        <v>818</v>
      </c>
      <c r="D163" s="7"/>
      <c r="E163" s="7"/>
      <c r="F163" s="7"/>
      <c r="G163" s="7"/>
      <c r="H163" s="7"/>
      <c r="I163" s="7"/>
      <c r="J163" s="7"/>
      <c r="K163" s="7"/>
      <c r="L163" s="7"/>
      <c r="M163" s="7"/>
      <c r="N163" s="7"/>
      <c r="O163" s="7"/>
      <c r="P163" s="7"/>
      <c r="Q163" s="7"/>
      <c r="R163" s="7"/>
      <c r="S163" s="7"/>
      <c r="T163" s="7"/>
      <c r="X163" s="11"/>
    </row>
    <row r="164" spans="1:24" ht="15.75" thickBot="1">
      <c r="A164" s="1085" t="b">
        <v>0</v>
      </c>
      <c r="B164" s="13" t="str">
        <f>IF(A164=TRUE,"Yes","No")</f>
        <v>No</v>
      </c>
      <c r="C164" s="3" t="s">
        <v>841</v>
      </c>
      <c r="D164" s="7"/>
      <c r="E164" s="7"/>
      <c r="F164" s="2">
        <f>IF($B164="Yes",Tobacco!E4,0)</f>
        <v>0</v>
      </c>
      <c r="G164" s="2">
        <f>IF($B164="Yes",Tobacco!F4,0)</f>
        <v>0</v>
      </c>
      <c r="H164" s="2">
        <f>IF($B164="Yes",Tobacco!G4,0)</f>
        <v>0</v>
      </c>
      <c r="I164" s="2">
        <f>IF($B164="Yes",Tobacco!H4,0)</f>
        <v>0</v>
      </c>
      <c r="J164" s="2">
        <f>IF($B164="Yes",Tobacco!I4,0)</f>
        <v>0</v>
      </c>
      <c r="K164" s="2">
        <f>IF($B164="Yes",Tobacco!J4,0)</f>
        <v>0</v>
      </c>
      <c r="L164" s="2">
        <f>IF($B164="Yes",Tobacco!K4,0)</f>
        <v>0</v>
      </c>
      <c r="M164" s="2">
        <f>IF($B164="Yes",Tobacco!L4,0)</f>
        <v>0</v>
      </c>
      <c r="N164" s="2">
        <f>IF($B164="Yes",Tobacco!M4,0)</f>
        <v>0</v>
      </c>
      <c r="O164" s="2">
        <f>IF($B164="Yes",Tobacco!N4,0)</f>
        <v>0</v>
      </c>
      <c r="P164" s="2">
        <f>IF($B164="Yes",Tobacco!O4,0)</f>
        <v>0</v>
      </c>
      <c r="Q164" s="2">
        <f>IF($B164="Yes",Tobacco!P4,0)</f>
        <v>0</v>
      </c>
      <c r="R164" s="2">
        <f>IF($B164="Yes",Tobacco!Q4,0)</f>
        <v>0</v>
      </c>
      <c r="S164" s="2">
        <f>IF($B164="Yes",Tobacco!R4,0)</f>
        <v>0</v>
      </c>
      <c r="T164" s="2">
        <f>IF($B164="Yes",Tobacco!S4,0)</f>
        <v>0</v>
      </c>
      <c r="X164" s="11"/>
    </row>
    <row r="165" spans="1:24" ht="15.75" thickBot="1">
      <c r="A165" s="1085" t="b">
        <v>0</v>
      </c>
      <c r="B165" s="13" t="str">
        <f>IF(A165=TRUE,"Yes","No")</f>
        <v>No</v>
      </c>
      <c r="C165" s="3" t="s">
        <v>825</v>
      </c>
      <c r="D165" s="7"/>
      <c r="E165" s="7"/>
      <c r="F165" s="2">
        <f>IF($B165="Yes",Tobacco!E5,0)</f>
        <v>0</v>
      </c>
      <c r="G165" s="2">
        <f>IF($B165="Yes",Tobacco!F5,0)</f>
        <v>0</v>
      </c>
      <c r="H165" s="2">
        <f>IF($B165="Yes",Tobacco!G5,0)</f>
        <v>0</v>
      </c>
      <c r="I165" s="2">
        <f>IF($B165="Yes",Tobacco!H5,0)</f>
        <v>0</v>
      </c>
      <c r="J165" s="2">
        <f>IF($B165="Yes",Tobacco!I5,0)</f>
        <v>0</v>
      </c>
      <c r="K165" s="2">
        <f>IF($B165="Yes",Tobacco!J5,0)</f>
        <v>0</v>
      </c>
      <c r="L165" s="2">
        <f>IF($B165="Yes",Tobacco!K5,0)</f>
        <v>0</v>
      </c>
      <c r="M165" s="2">
        <f>IF($B165="Yes",Tobacco!L5,0)</f>
        <v>0</v>
      </c>
      <c r="N165" s="2">
        <f>IF($B165="Yes",Tobacco!M5,0)</f>
        <v>0</v>
      </c>
      <c r="O165" s="2">
        <f>IF($B165="Yes",Tobacco!N5,0)</f>
        <v>0</v>
      </c>
      <c r="P165" s="2">
        <f>IF($B165="Yes",Tobacco!O5,0)</f>
        <v>0</v>
      </c>
      <c r="Q165" s="2">
        <f>IF($B165="Yes",Tobacco!P5,0)</f>
        <v>0</v>
      </c>
      <c r="R165" s="2">
        <f>IF($B165="Yes",Tobacco!Q5,0)</f>
        <v>0</v>
      </c>
      <c r="S165" s="2">
        <f>IF($B165="Yes",Tobacco!R5,0)</f>
        <v>0</v>
      </c>
      <c r="T165" s="2">
        <f>IF($B165="Yes",Tobacco!S5,0)</f>
        <v>0</v>
      </c>
      <c r="X165" s="11"/>
    </row>
    <row r="166" spans="1:24" ht="15.75" thickBot="1">
      <c r="A166" s="1085">
        <v>1</v>
      </c>
      <c r="B166" s="13">
        <f>Tobacco!B5</f>
        <v>50</v>
      </c>
      <c r="C166" s="10" t="s">
        <v>818</v>
      </c>
      <c r="D166" s="7"/>
      <c r="E166" s="7"/>
      <c r="F166" s="7"/>
      <c r="G166" s="7"/>
      <c r="H166" s="7"/>
      <c r="I166" s="7"/>
      <c r="J166" s="7"/>
      <c r="K166" s="7"/>
      <c r="L166" s="7"/>
      <c r="M166" s="7"/>
      <c r="N166" s="7"/>
      <c r="O166" s="7"/>
      <c r="P166" s="7"/>
      <c r="Q166" s="7"/>
      <c r="R166" s="7"/>
      <c r="S166" s="7"/>
      <c r="T166" s="7"/>
      <c r="X166" s="11"/>
    </row>
    <row r="167" spans="1:24">
      <c r="C167" s="10"/>
      <c r="D167" s="2"/>
      <c r="E167" s="12"/>
      <c r="F167" s="12"/>
      <c r="G167" s="12"/>
      <c r="H167" s="12"/>
      <c r="I167" s="12"/>
      <c r="J167" s="12"/>
      <c r="K167" s="12"/>
      <c r="L167" s="12"/>
      <c r="M167" s="12"/>
      <c r="N167" s="12"/>
      <c r="O167" s="12"/>
      <c r="P167" s="12"/>
      <c r="Q167" s="12"/>
      <c r="R167" s="12"/>
      <c r="S167" s="12"/>
      <c r="T167" s="12"/>
      <c r="X167" s="11"/>
    </row>
    <row r="168" spans="1:24" ht="15.75" thickBot="1">
      <c r="C168" s="40" t="s">
        <v>669</v>
      </c>
      <c r="D168" s="2"/>
      <c r="E168" s="12"/>
      <c r="F168" s="12"/>
      <c r="G168" s="12"/>
      <c r="H168" s="12"/>
      <c r="I168" s="12"/>
      <c r="J168" s="12"/>
      <c r="K168" s="12"/>
      <c r="L168" s="12"/>
      <c r="M168" s="12"/>
      <c r="N168" s="12"/>
      <c r="O168" s="12"/>
      <c r="P168" s="12"/>
      <c r="Q168" s="12"/>
      <c r="R168" s="12"/>
      <c r="S168" s="12"/>
      <c r="T168" s="12"/>
      <c r="X168" s="11"/>
    </row>
    <row r="169" spans="1:24" ht="15.75" thickBot="1">
      <c r="A169" s="1085" t="b">
        <v>0</v>
      </c>
      <c r="B169" s="13" t="str">
        <f>IF(A169=TRUE,"Yes","No")</f>
        <v>No</v>
      </c>
      <c r="C169" s="3" t="s">
        <v>796</v>
      </c>
      <c r="D169" s="7"/>
      <c r="E169" s="7"/>
      <c r="F169" s="2">
        <f>IF($B169="Yes",'Uncollected Funds'!D2,0)</f>
        <v>0</v>
      </c>
      <c r="G169" s="2">
        <f>IF($B169="Yes",'Uncollected Funds'!E2,0)</f>
        <v>0</v>
      </c>
      <c r="H169" s="2">
        <f>IF($B169="Yes",'Uncollected Funds'!F2,0)</f>
        <v>0</v>
      </c>
      <c r="I169" s="2">
        <f>IF($B169="Yes",'Uncollected Funds'!G2,0)</f>
        <v>0</v>
      </c>
      <c r="J169" s="2">
        <f>IF($B169="Yes",'Uncollected Funds'!H2,0)</f>
        <v>0</v>
      </c>
      <c r="K169" s="2">
        <f>IF($B169="Yes",'Uncollected Funds'!I2,0)</f>
        <v>0</v>
      </c>
      <c r="L169" s="2">
        <f>IF($B169="Yes",'Uncollected Funds'!J2,0)</f>
        <v>0</v>
      </c>
      <c r="M169" s="2">
        <f>IF($B169="Yes",'Uncollected Funds'!K2,0)</f>
        <v>0</v>
      </c>
      <c r="N169" s="2">
        <f>IF($B169="Yes",'Uncollected Funds'!L2,0)</f>
        <v>0</v>
      </c>
      <c r="O169" s="2">
        <f>IF($B169="Yes",'Uncollected Funds'!M2,0)</f>
        <v>0</v>
      </c>
      <c r="P169" s="2">
        <f>IF($B169="Yes",'Uncollected Funds'!N2,0)</f>
        <v>0</v>
      </c>
      <c r="Q169" s="2">
        <f>IF($B169="Yes",'Uncollected Funds'!O2,0)</f>
        <v>0</v>
      </c>
      <c r="R169" s="2">
        <f>IF($B169="Yes",'Uncollected Funds'!P2,0)</f>
        <v>0</v>
      </c>
      <c r="S169" s="2">
        <f>IF($B169="Yes",'Uncollected Funds'!Q2,0)</f>
        <v>0</v>
      </c>
      <c r="T169" s="2">
        <f>IF($B169="Yes",'Uncollected Funds'!R2,0)</f>
        <v>0</v>
      </c>
      <c r="X169" s="11"/>
    </row>
    <row r="170" spans="1:24" ht="15.75" thickBot="1">
      <c r="B170" s="42"/>
      <c r="C170" s="10" t="s">
        <v>670</v>
      </c>
      <c r="D170" s="7"/>
      <c r="E170" s="7"/>
      <c r="F170" s="7"/>
      <c r="G170" s="7"/>
      <c r="H170" s="7"/>
      <c r="I170" s="7"/>
      <c r="J170" s="7"/>
      <c r="K170" s="7"/>
      <c r="L170" s="7"/>
      <c r="M170" s="7"/>
      <c r="N170" s="7"/>
      <c r="O170" s="7"/>
      <c r="P170" s="7"/>
      <c r="Q170" s="7"/>
      <c r="R170" s="7"/>
      <c r="S170" s="7"/>
      <c r="T170" s="7"/>
      <c r="X170" s="11"/>
    </row>
    <row r="171" spans="1:24">
      <c r="B171" s="863"/>
      <c r="C171" s="10"/>
      <c r="D171" s="7"/>
      <c r="E171" s="7"/>
      <c r="F171" s="7"/>
      <c r="G171" s="7"/>
      <c r="H171" s="7"/>
      <c r="I171" s="7"/>
      <c r="J171" s="7"/>
      <c r="K171" s="7"/>
      <c r="L171" s="7"/>
      <c r="M171" s="7"/>
      <c r="N171" s="7"/>
      <c r="O171" s="7"/>
      <c r="P171" s="7"/>
      <c r="Q171" s="7"/>
      <c r="R171" s="7"/>
      <c r="S171" s="7"/>
      <c r="T171" s="7"/>
      <c r="X171" s="11"/>
    </row>
    <row r="172" spans="1:24">
      <c r="B172" s="14"/>
      <c r="C172" s="40" t="s">
        <v>220</v>
      </c>
      <c r="D172" s="2"/>
      <c r="E172" s="12"/>
      <c r="F172" s="12"/>
      <c r="G172" s="12"/>
      <c r="H172" s="12"/>
      <c r="I172" s="12"/>
      <c r="J172" s="12"/>
      <c r="K172" s="12"/>
      <c r="L172" s="12"/>
      <c r="M172" s="12"/>
      <c r="N172" s="12"/>
      <c r="O172" s="12"/>
      <c r="P172" s="12"/>
      <c r="Q172" s="12"/>
      <c r="R172" s="12"/>
      <c r="S172" s="12"/>
      <c r="T172" s="12"/>
      <c r="X172" s="11"/>
    </row>
    <row r="173" spans="1:24">
      <c r="B173" s="14"/>
      <c r="C173" s="3" t="s">
        <v>22</v>
      </c>
      <c r="D173" s="7"/>
      <c r="E173" s="12">
        <f>IF($B$188="Yes",IF($C$188="AKLNG - 25% equity, TC, no buyback",E244,0)+IF($C$188="AKLNG - 25% equity, TC, Dec 15 with buyback",E245,0)+IF($C$188="AKLNG - 25% equity, TC, Dec 15 TC removal",E246,0),0)</f>
        <v>0</v>
      </c>
      <c r="F173" s="12">
        <f t="shared" ref="F173:T173" si="25">IF($B$188="Yes",IF($C$188="AKLNG - 25% equity, TC, no buyback",F244,0)+IF($C$188="AKLNG - 25% equity, TC, Dec 15 with buyback",F245,0)+IF($C$188="AKLNG - 25% equity, TC, Dec 15 TC removal",F246,0),0)</f>
        <v>0</v>
      </c>
      <c r="G173" s="12">
        <f t="shared" si="25"/>
        <v>0</v>
      </c>
      <c r="H173" s="12">
        <f t="shared" si="25"/>
        <v>0</v>
      </c>
      <c r="I173" s="12">
        <f t="shared" si="25"/>
        <v>0</v>
      </c>
      <c r="J173" s="12">
        <f t="shared" si="25"/>
        <v>0</v>
      </c>
      <c r="K173" s="12">
        <f t="shared" si="25"/>
        <v>0</v>
      </c>
      <c r="L173" s="12">
        <f t="shared" si="25"/>
        <v>0</v>
      </c>
      <c r="M173" s="12">
        <f t="shared" si="25"/>
        <v>0</v>
      </c>
      <c r="N173" s="12">
        <f t="shared" si="25"/>
        <v>0</v>
      </c>
      <c r="O173" s="12">
        <f t="shared" si="25"/>
        <v>0</v>
      </c>
      <c r="P173" s="12">
        <f t="shared" si="25"/>
        <v>0</v>
      </c>
      <c r="Q173" s="12">
        <f t="shared" si="25"/>
        <v>0</v>
      </c>
      <c r="R173" s="12">
        <f t="shared" si="25"/>
        <v>0</v>
      </c>
      <c r="S173" s="12">
        <f t="shared" si="25"/>
        <v>0</v>
      </c>
      <c r="T173" s="12">
        <f t="shared" si="25"/>
        <v>0</v>
      </c>
    </row>
    <row r="174" spans="1:24">
      <c r="B174" s="14"/>
      <c r="C174" s="3" t="s">
        <v>219</v>
      </c>
      <c r="D174" s="7"/>
      <c r="E174" s="7"/>
      <c r="F174" s="7"/>
      <c r="G174" s="7"/>
      <c r="H174" s="7"/>
      <c r="I174" s="7"/>
      <c r="J174" s="7"/>
      <c r="K174" s="7"/>
      <c r="L174" s="7"/>
      <c r="M174" s="7"/>
      <c r="N174" s="7"/>
      <c r="O174" s="12">
        <f>IF(B188="No",0,IF(B189="No",0,IF(AND(B189="Yes",C189="AKLNG - 25% equity, TC, no buyback"),1000,1000)))</f>
        <v>0</v>
      </c>
      <c r="P174" s="12">
        <f>MROUND(O174*1.0225,10)</f>
        <v>0</v>
      </c>
      <c r="Q174" s="12">
        <f>MROUND(P174*1.0225,10)</f>
        <v>0</v>
      </c>
      <c r="R174" s="12">
        <f>MROUND(Q174*1.0225,10)</f>
        <v>0</v>
      </c>
      <c r="S174" s="12">
        <f>MROUND(R174*1.0225,10)</f>
        <v>0</v>
      </c>
      <c r="T174" s="12">
        <f>MROUND(S174*1.0225,10)</f>
        <v>0</v>
      </c>
    </row>
    <row r="175" spans="1:24">
      <c r="B175" s="14"/>
      <c r="C175" s="3" t="s">
        <v>821</v>
      </c>
      <c r="D175" s="7"/>
      <c r="E175" s="7"/>
      <c r="F175" s="7"/>
      <c r="G175" s="7"/>
      <c r="H175" s="12">
        <f>IF($B$194="Yes",'Ambler and Juneau Road'!F3,0)</f>
        <v>0</v>
      </c>
      <c r="I175" s="12">
        <f>IF($B$194="Yes",'Ambler and Juneau Road'!G3,0)</f>
        <v>0</v>
      </c>
      <c r="J175" s="12">
        <f>IF($B$194="Yes",'Ambler and Juneau Road'!H3,0)</f>
        <v>0</v>
      </c>
      <c r="K175" s="12">
        <f>IF($B$194="Yes",'Ambler and Juneau Road'!I3,0)</f>
        <v>0</v>
      </c>
      <c r="L175" s="12">
        <f>IF($B$194="Yes",'Ambler and Juneau Road'!J3,0)</f>
        <v>0</v>
      </c>
      <c r="M175" s="12">
        <f>IF($B$194="Yes",'Ambler and Juneau Road'!K3,0)</f>
        <v>0</v>
      </c>
      <c r="N175" s="12">
        <f>IF($B$194="Yes",'Ambler and Juneau Road'!L3,0)</f>
        <v>0</v>
      </c>
      <c r="O175" s="12">
        <f>IF($B$194="Yes",'Ambler and Juneau Road'!M3,0)</f>
        <v>0</v>
      </c>
      <c r="P175" s="12">
        <f>IF($B$194="Yes",'Ambler and Juneau Road'!N3,0)</f>
        <v>0</v>
      </c>
      <c r="Q175" s="12">
        <f>IF($B$194="Yes",'Ambler and Juneau Road'!O3,0)</f>
        <v>0</v>
      </c>
      <c r="R175" s="12">
        <f>IF($B$194="Yes",'Ambler and Juneau Road'!P3,0)</f>
        <v>0</v>
      </c>
      <c r="S175" s="12">
        <f>IF($B$194="Yes",'Ambler and Juneau Road'!Q3,0)</f>
        <v>0</v>
      </c>
      <c r="T175" s="12">
        <f>IF($B$194="Yes",'Ambler and Juneau Road'!R3,0)</f>
        <v>0</v>
      </c>
    </row>
    <row r="176" spans="1:24">
      <c r="B176" s="14"/>
      <c r="C176" s="3" t="s">
        <v>828</v>
      </c>
      <c r="D176" s="7"/>
      <c r="E176" s="7"/>
      <c r="F176" s="7"/>
      <c r="G176" s="7"/>
      <c r="H176" s="7"/>
      <c r="I176" s="7"/>
      <c r="J176" s="7"/>
      <c r="K176" s="7"/>
      <c r="L176" s="7"/>
      <c r="M176" s="7"/>
      <c r="N176" s="12">
        <f>IF($B$195="Yes",'Ambler and Juneau Road'!L10,0)</f>
        <v>0</v>
      </c>
      <c r="O176" s="12">
        <f>IF($B$195="Yes",'Ambler and Juneau Road'!M10,0)</f>
        <v>0</v>
      </c>
      <c r="P176" s="12">
        <f>IF($B$195="Yes",'Ambler and Juneau Road'!N10,0)</f>
        <v>0</v>
      </c>
      <c r="Q176" s="12">
        <f>IF($B$195="Yes",'Ambler and Juneau Road'!O10,0)</f>
        <v>0</v>
      </c>
      <c r="R176" s="12">
        <f>IF($B$195="Yes",'Ambler and Juneau Road'!P10,0)</f>
        <v>0</v>
      </c>
      <c r="S176" s="12">
        <f>IF($B$195="Yes",'Ambler and Juneau Road'!Q10,0)</f>
        <v>0</v>
      </c>
      <c r="T176" s="12">
        <f>IF($B$195="Yes",'Ambler and Juneau Road'!R10,0)</f>
        <v>0</v>
      </c>
    </row>
    <row r="177" spans="1:21" ht="8.25" customHeight="1">
      <c r="B177" s="14"/>
      <c r="C177" s="3"/>
      <c r="D177" s="2"/>
      <c r="E177" s="12"/>
      <c r="F177" s="12"/>
      <c r="G177" s="12"/>
      <c r="H177" s="12"/>
      <c r="I177" s="12"/>
      <c r="J177" s="12"/>
      <c r="K177" s="12"/>
      <c r="L177" s="12"/>
      <c r="M177" s="12"/>
      <c r="N177" s="12"/>
      <c r="O177" s="12"/>
      <c r="P177" s="12"/>
      <c r="Q177" s="12"/>
      <c r="R177" s="12"/>
      <c r="S177" s="12"/>
      <c r="T177" s="12"/>
    </row>
    <row r="178" spans="1:21" ht="17.25">
      <c r="B178" s="14"/>
      <c r="C178" t="s">
        <v>15</v>
      </c>
      <c r="D178" s="26">
        <v>5394</v>
      </c>
      <c r="E178" s="26">
        <v>2354</v>
      </c>
      <c r="F178" s="26">
        <f>SUM(F8,F16,F18,F20,F22,F26,F29,F33,F45,F48,-F83,F84,F91,F95,F99,F103,F107,F109,F113,F116,F119,F123,F124,F125,F127,F130,F134,F139,F142,F154,F146,F150,F158,F160,F162,F164,F165,F169,F173,F174,F175,F176)</f>
        <v>2311.4</v>
      </c>
      <c r="G178" s="26">
        <f t="shared" ref="G178:T178" si="26">SUM(G8,G16,G18,G20,G22,G26,G29,G33,G45,G48,-G83,G84,G91,G95,G99,G103,G107,G109,G113,G116,G119,G123,G124,G125,G127,G130,G134,G139,G142,G154,G146,G150,G158,G160,G162,G164,G165,G169,G173,G174,G175,G176)</f>
        <v>2371.4</v>
      </c>
      <c r="H178" s="26">
        <f t="shared" si="26"/>
        <v>2346.4</v>
      </c>
      <c r="I178" s="26">
        <f t="shared" si="26"/>
        <v>2263.6</v>
      </c>
      <c r="J178" s="26">
        <f t="shared" si="26"/>
        <v>2197.3000000000002</v>
      </c>
      <c r="K178" s="26">
        <f t="shared" si="26"/>
        <v>2124.6</v>
      </c>
      <c r="L178" s="26">
        <f t="shared" si="26"/>
        <v>2043.2999999999997</v>
      </c>
      <c r="M178" s="26">
        <f t="shared" si="26"/>
        <v>1979.3000000000002</v>
      </c>
      <c r="N178" s="26">
        <f t="shared" si="26"/>
        <v>1903</v>
      </c>
      <c r="O178" s="26">
        <f t="shared" si="26"/>
        <v>1827.3</v>
      </c>
      <c r="P178" s="26">
        <f t="shared" si="26"/>
        <v>1749.2</v>
      </c>
      <c r="Q178" s="26">
        <f t="shared" si="26"/>
        <v>1665.5</v>
      </c>
      <c r="R178" s="26">
        <f t="shared" si="26"/>
        <v>1632</v>
      </c>
      <c r="S178" s="26">
        <f t="shared" si="26"/>
        <v>1604</v>
      </c>
      <c r="T178" s="26">
        <f t="shared" si="26"/>
        <v>1528.4</v>
      </c>
    </row>
    <row r="179" spans="1:21" ht="7.5" customHeight="1">
      <c r="B179" s="14"/>
      <c r="E179" s="8"/>
    </row>
    <row r="180" spans="1:21" ht="15" hidden="1" customHeight="1" thickBot="1">
      <c r="B180" s="14"/>
      <c r="C180" s="40" t="s">
        <v>306</v>
      </c>
      <c r="E180" s="8"/>
      <c r="F180" s="316"/>
      <c r="G180" s="316"/>
      <c r="H180" s="316"/>
      <c r="I180" s="316"/>
      <c r="J180" s="316"/>
      <c r="K180" s="316"/>
      <c r="L180" s="316"/>
      <c r="M180" s="316"/>
      <c r="N180" s="316"/>
      <c r="O180" s="316"/>
      <c r="P180" s="316"/>
      <c r="Q180" s="316"/>
      <c r="R180" s="316"/>
      <c r="S180" s="316"/>
      <c r="T180" s="316"/>
    </row>
    <row r="181" spans="1:21" ht="15.75" hidden="1" thickBot="1">
      <c r="B181" s="13" t="s">
        <v>13</v>
      </c>
      <c r="C181" s="3" t="s">
        <v>307</v>
      </c>
      <c r="D181" s="7">
        <v>231.41800000000003</v>
      </c>
      <c r="E181" s="7">
        <v>220.77856099999997</v>
      </c>
      <c r="F181" s="276">
        <f>IF($B$181="Yes",(1+$B$182)*E181,0)</f>
        <v>225.19413221999997</v>
      </c>
      <c r="G181" s="276">
        <f t="shared" ref="G181:T181" si="27">IF($B$181="Yes",(1+$B$182)*F181,0)</f>
        <v>229.69801486439997</v>
      </c>
      <c r="H181" s="276">
        <f t="shared" si="27"/>
        <v>234.29197516168796</v>
      </c>
      <c r="I181" s="276">
        <f t="shared" si="27"/>
        <v>238.97781466492171</v>
      </c>
      <c r="J181" s="276">
        <f t="shared" si="27"/>
        <v>243.75737095822015</v>
      </c>
      <c r="K181" s="276">
        <f t="shared" si="27"/>
        <v>248.63251837738457</v>
      </c>
      <c r="L181" s="276">
        <f t="shared" si="27"/>
        <v>253.60516874493226</v>
      </c>
      <c r="M181" s="276">
        <f t="shared" si="27"/>
        <v>258.67727211983089</v>
      </c>
      <c r="N181" s="276">
        <f t="shared" si="27"/>
        <v>263.85081756222752</v>
      </c>
      <c r="O181" s="276">
        <f t="shared" si="27"/>
        <v>269.1278339134721</v>
      </c>
      <c r="P181" s="276">
        <f t="shared" si="27"/>
        <v>274.51039059174155</v>
      </c>
      <c r="Q181" s="276">
        <f t="shared" si="27"/>
        <v>280.00059840357642</v>
      </c>
      <c r="R181" s="276">
        <f t="shared" si="27"/>
        <v>285.60061037164797</v>
      </c>
      <c r="S181" s="276">
        <f t="shared" si="27"/>
        <v>291.31262257908094</v>
      </c>
      <c r="T181" s="276">
        <f t="shared" si="27"/>
        <v>297.13887503066258</v>
      </c>
    </row>
    <row r="182" spans="1:21" ht="15.75" hidden="1" thickBot="1">
      <c r="B182" s="15">
        <v>0.02</v>
      </c>
      <c r="C182" s="10" t="s">
        <v>375</v>
      </c>
      <c r="D182" s="7"/>
      <c r="E182" s="7"/>
      <c r="F182" s="277">
        <v>203.07600000000002</v>
      </c>
      <c r="G182" s="277">
        <v>209.321</v>
      </c>
      <c r="H182" s="277">
        <v>201.215</v>
      </c>
      <c r="I182" s="277">
        <v>208.58</v>
      </c>
      <c r="J182" s="277">
        <v>190.07599999999999</v>
      </c>
      <c r="K182" s="277">
        <v>186.87699999999998</v>
      </c>
      <c r="L182" s="277">
        <v>164.876</v>
      </c>
      <c r="M182" s="277">
        <v>161.03200000000001</v>
      </c>
      <c r="N182" s="277">
        <v>152.55199999999999</v>
      </c>
      <c r="O182" s="277">
        <v>136.42700000000002</v>
      </c>
      <c r="P182" s="277">
        <v>105.61900000000001</v>
      </c>
      <c r="Q182" s="277">
        <v>117.33100000000002</v>
      </c>
      <c r="R182" s="277">
        <v>111.059</v>
      </c>
      <c r="S182" s="277">
        <v>105.684</v>
      </c>
      <c r="T182" s="277">
        <v>99.518999999999991</v>
      </c>
    </row>
    <row r="183" spans="1:21" ht="7.5" customHeight="1">
      <c r="A183" s="1088"/>
      <c r="B183" s="10"/>
      <c r="C183" s="10"/>
      <c r="D183" s="10"/>
      <c r="E183" s="10"/>
      <c r="F183" s="10"/>
      <c r="G183" s="10"/>
      <c r="H183" s="10"/>
      <c r="I183" s="10"/>
      <c r="J183" s="10"/>
      <c r="K183" s="10"/>
      <c r="L183" s="10"/>
      <c r="M183" s="10"/>
      <c r="N183" s="10"/>
      <c r="O183" s="10"/>
      <c r="P183" s="10"/>
      <c r="Q183" s="10"/>
      <c r="R183" s="10"/>
      <c r="S183" s="10"/>
      <c r="T183" s="10"/>
      <c r="U183" s="10"/>
    </row>
    <row r="184" spans="1:21" ht="18" thickBot="1">
      <c r="B184" s="14"/>
      <c r="C184" s="36" t="s">
        <v>544</v>
      </c>
      <c r="D184" s="33">
        <v>7050</v>
      </c>
      <c r="E184" s="34">
        <f>'Budget Sensitivity'!F36/1000+594</f>
        <v>5978.7234000000008</v>
      </c>
      <c r="F184" s="109">
        <f>'Budget Sensitivity'!F35/1000-F154-F13-F66</f>
        <v>5334.7234000000008</v>
      </c>
      <c r="G184" s="109">
        <f>'Budget Sensitivity'!G35/1000-G154-G13-G66</f>
        <v>5434.4617437474999</v>
      </c>
      <c r="H184" s="109">
        <f>'Budget Sensitivity'!H35/1000-H154-H13-H66</f>
        <v>5556.7371329818179</v>
      </c>
      <c r="I184" s="109">
        <f>'Budget Sensitivity'!I35/1000-I154-I13-I66</f>
        <v>5681.7637184739096</v>
      </c>
      <c r="J184" s="109">
        <f>'Budget Sensitivity'!J35/1000-J154-J13-J66</f>
        <v>5809.6034021395726</v>
      </c>
      <c r="K184" s="109">
        <f>'Budget Sensitivity'!K35/1000-K154-K13-K66</f>
        <v>5940.319478687712</v>
      </c>
      <c r="L184" s="109">
        <f>'Budget Sensitivity'!L35/1000-L154-L13-L66</f>
        <v>6073.9766669581859</v>
      </c>
      <c r="M184" s="109">
        <f>'Budget Sensitivity'!M35/1000-M154-M13-M66</f>
        <v>6210.6411419647447</v>
      </c>
      <c r="N184" s="109">
        <f>'Budget Sensitivity'!N35/1000-N154-N13-N66</f>
        <v>6350.3805676589518</v>
      </c>
      <c r="O184" s="109">
        <f>'Budget Sensitivity'!O35/1000-O154-O13-O66</f>
        <v>6493.2641304312765</v>
      </c>
      <c r="P184" s="109">
        <f>'Budget Sensitivity'!P35/1000-P154-P13-P66</f>
        <v>6639.3625733659801</v>
      </c>
      <c r="Q184" s="109">
        <f>'Budget Sensitivity'!Q35/1000-Q154-Q13-Q66</f>
        <v>6788.7482312667153</v>
      </c>
      <c r="R184" s="109">
        <f>'Budget Sensitivity'!R35/1000-R154-R13-R66</f>
        <v>6941.4950664702155</v>
      </c>
      <c r="S184" s="109">
        <f>'Budget Sensitivity'!S35/1000-S154-S13-S66</f>
        <v>7097.6787054657943</v>
      </c>
      <c r="T184" s="109">
        <f>'Budget Sensitivity'!T35/1000-T154-T13-T66</f>
        <v>7257.3764763387744</v>
      </c>
    </row>
    <row r="185" spans="1:21" ht="18" thickBot="1">
      <c r="B185" s="14"/>
      <c r="C185" s="3" t="s">
        <v>379</v>
      </c>
      <c r="D185" s="7"/>
      <c r="E185" s="7"/>
      <c r="F185" s="35">
        <v>5553.5699000000004</v>
      </c>
      <c r="G185" s="35">
        <v>5341.375078</v>
      </c>
      <c r="H185" s="35">
        <v>5063.1557592600002</v>
      </c>
      <c r="I185" s="35">
        <v>5049.5745261400007</v>
      </c>
      <c r="J185" s="35">
        <v>5134.8590166628001</v>
      </c>
      <c r="K185" s="35">
        <v>5213.3539569960567</v>
      </c>
      <c r="L185" s="35">
        <v>5304.0578161359772</v>
      </c>
      <c r="M185" s="35">
        <v>5397.3766724586976</v>
      </c>
      <c r="N185" s="35">
        <v>5489.8412259078714</v>
      </c>
      <c r="O185" s="35">
        <v>5573.1418104260292</v>
      </c>
      <c r="P185" s="7">
        <f>O185</f>
        <v>5573.1418104260292</v>
      </c>
      <c r="Q185" s="7">
        <f>P185</f>
        <v>5573.1418104260292</v>
      </c>
      <c r="R185" s="7">
        <f>Q185</f>
        <v>5573.1418104260292</v>
      </c>
      <c r="S185" s="7">
        <f>R185</f>
        <v>5573.1418104260292</v>
      </c>
      <c r="T185" s="7">
        <f>S185</f>
        <v>5573.1418104260292</v>
      </c>
    </row>
    <row r="186" spans="1:21" ht="9" customHeight="1">
      <c r="B186" s="14"/>
      <c r="D186" s="1"/>
    </row>
    <row r="187" spans="1:21" ht="15.75" thickBot="1">
      <c r="B187" s="14"/>
      <c r="C187" s="30" t="s">
        <v>34</v>
      </c>
      <c r="D187" s="1"/>
      <c r="F187" s="316"/>
      <c r="G187" s="316"/>
      <c r="H187" s="316"/>
      <c r="I187" s="316"/>
      <c r="J187" s="316"/>
      <c r="K187" s="316"/>
      <c r="L187" s="316"/>
      <c r="M187" s="316"/>
      <c r="N187" s="316"/>
      <c r="O187" s="316"/>
      <c r="P187" s="316"/>
      <c r="Q187" s="316"/>
      <c r="R187" s="316"/>
      <c r="S187" s="316"/>
      <c r="T187" s="316"/>
    </row>
    <row r="188" spans="1:21" ht="15.75" thickBot="1">
      <c r="A188" s="1085" t="b">
        <v>0</v>
      </c>
      <c r="B188" s="13" t="str">
        <f>IF(A188=TRUE,"Yes","No")</f>
        <v>No</v>
      </c>
      <c r="C188" s="1131" t="str">
        <f>Graphs!B99</f>
        <v>AKLNG - 25% equity, TC, no buyback</v>
      </c>
      <c r="D188" s="2">
        <f>D222</f>
        <v>7</v>
      </c>
      <c r="E188" s="2">
        <f>E222</f>
        <v>34.255126823041863</v>
      </c>
      <c r="F188" s="2">
        <f t="shared" ref="F188:T188" si="28">IF($B$188="no",0,IF($C$188=$C$222,F222,IF($C$188=$C$223,F223,F224)))</f>
        <v>0</v>
      </c>
      <c r="G188" s="2">
        <f t="shared" si="28"/>
        <v>0</v>
      </c>
      <c r="H188" s="2">
        <f t="shared" si="28"/>
        <v>0</v>
      </c>
      <c r="I188" s="2">
        <f t="shared" si="28"/>
        <v>0</v>
      </c>
      <c r="J188" s="2">
        <f t="shared" si="28"/>
        <v>0</v>
      </c>
      <c r="K188" s="2">
        <f t="shared" si="28"/>
        <v>0</v>
      </c>
      <c r="L188" s="2">
        <f t="shared" si="28"/>
        <v>0</v>
      </c>
      <c r="M188" s="2">
        <f t="shared" si="28"/>
        <v>0</v>
      </c>
      <c r="N188" s="2">
        <f t="shared" si="28"/>
        <v>0</v>
      </c>
      <c r="O188" s="2">
        <f t="shared" si="28"/>
        <v>0</v>
      </c>
      <c r="P188" s="2">
        <f t="shared" si="28"/>
        <v>0</v>
      </c>
      <c r="Q188" s="2">
        <f t="shared" si="28"/>
        <v>0</v>
      </c>
      <c r="R188" s="2">
        <f t="shared" si="28"/>
        <v>0</v>
      </c>
      <c r="S188" s="2">
        <f t="shared" si="28"/>
        <v>0</v>
      </c>
      <c r="T188" s="2">
        <f t="shared" si="28"/>
        <v>0</v>
      </c>
    </row>
    <row r="189" spans="1:21" ht="15.75" thickBot="1">
      <c r="A189" s="1085" t="b">
        <v>0</v>
      </c>
      <c r="B189" s="13" t="str">
        <f>IF(A189=TRUE,"Yes","No")</f>
        <v>No</v>
      </c>
      <c r="C189" s="3" t="s">
        <v>218</v>
      </c>
      <c r="D189" s="2">
        <f>D226</f>
        <v>60.2</v>
      </c>
      <c r="E189" s="2">
        <f>E226</f>
        <v>90</v>
      </c>
      <c r="F189" s="2">
        <f>IF($B$189="Yes",F226,0)</f>
        <v>0</v>
      </c>
      <c r="G189" s="2">
        <f>IF($B$189="Yes",G226,0)</f>
        <v>0</v>
      </c>
      <c r="H189" s="2">
        <f t="shared" ref="H189:T189" si="29">IF($B$189="Yes",H226*(1-$B$190),0)</f>
        <v>0</v>
      </c>
      <c r="I189" s="2">
        <f t="shared" si="29"/>
        <v>0</v>
      </c>
      <c r="J189" s="2">
        <f t="shared" si="29"/>
        <v>0</v>
      </c>
      <c r="K189" s="2">
        <f t="shared" si="29"/>
        <v>0</v>
      </c>
      <c r="L189" s="2">
        <f t="shared" si="29"/>
        <v>0</v>
      </c>
      <c r="M189" s="2">
        <f t="shared" si="29"/>
        <v>0</v>
      </c>
      <c r="N189" s="2">
        <f t="shared" si="29"/>
        <v>0</v>
      </c>
      <c r="O189" s="2">
        <f t="shared" si="29"/>
        <v>0</v>
      </c>
      <c r="P189" s="2">
        <f t="shared" si="29"/>
        <v>0</v>
      </c>
      <c r="Q189" s="2">
        <f t="shared" si="29"/>
        <v>0</v>
      </c>
      <c r="R189" s="2">
        <f t="shared" si="29"/>
        <v>0</v>
      </c>
      <c r="S189" s="2">
        <f t="shared" si="29"/>
        <v>0</v>
      </c>
      <c r="T189" s="2">
        <f t="shared" si="29"/>
        <v>0</v>
      </c>
    </row>
    <row r="190" spans="1:21" ht="15.75" thickBot="1">
      <c r="A190" s="1085">
        <v>1</v>
      </c>
      <c r="B190" s="16">
        <f>A190*0.05+0.45</f>
        <v>0.5</v>
      </c>
      <c r="C190" s="10" t="s">
        <v>18</v>
      </c>
      <c r="D190" s="2"/>
      <c r="E190" s="2"/>
      <c r="F190" s="2"/>
      <c r="G190" s="2"/>
      <c r="H190" s="2"/>
      <c r="I190" s="2"/>
      <c r="J190" s="2"/>
      <c r="K190" s="2"/>
      <c r="L190" s="2"/>
      <c r="M190" s="2"/>
      <c r="N190" s="2"/>
      <c r="O190" s="2"/>
      <c r="P190" s="2"/>
      <c r="Q190" s="2"/>
      <c r="R190" s="2"/>
      <c r="S190" s="2"/>
      <c r="T190" s="2"/>
    </row>
    <row r="191" spans="1:21" ht="15.75" thickBot="1">
      <c r="A191" s="1085" t="b">
        <v>0</v>
      </c>
      <c r="B191" s="13" t="str">
        <f>IF(A191=TRUE,"Yes","No")</f>
        <v>No</v>
      </c>
      <c r="C191" s="3" t="s">
        <v>27</v>
      </c>
      <c r="D191" s="2"/>
      <c r="E191" s="2"/>
      <c r="F191" s="2">
        <f>F192+F193</f>
        <v>0</v>
      </c>
      <c r="G191" s="2">
        <f t="shared" ref="G191:N191" si="30">G192+G193</f>
        <v>0</v>
      </c>
      <c r="H191" s="2">
        <f t="shared" si="30"/>
        <v>0</v>
      </c>
      <c r="I191" s="2">
        <f t="shared" si="30"/>
        <v>0</v>
      </c>
      <c r="J191" s="2">
        <f t="shared" si="30"/>
        <v>0</v>
      </c>
      <c r="K191" s="2">
        <f t="shared" si="30"/>
        <v>0</v>
      </c>
      <c r="L191" s="2">
        <f t="shared" si="30"/>
        <v>0</v>
      </c>
      <c r="M191" s="2">
        <f t="shared" si="30"/>
        <v>0</v>
      </c>
      <c r="N191" s="2">
        <f t="shared" si="30"/>
        <v>0</v>
      </c>
      <c r="O191" s="2">
        <f t="shared" ref="O191:T191" si="31">O192+O193</f>
        <v>0</v>
      </c>
      <c r="P191" s="2">
        <f t="shared" si="31"/>
        <v>0</v>
      </c>
      <c r="Q191" s="2">
        <f t="shared" si="31"/>
        <v>0</v>
      </c>
      <c r="R191" s="2">
        <f t="shared" si="31"/>
        <v>0</v>
      </c>
      <c r="S191" s="2">
        <f t="shared" si="31"/>
        <v>0</v>
      </c>
      <c r="T191" s="2">
        <f t="shared" si="31"/>
        <v>0</v>
      </c>
    </row>
    <row r="192" spans="1:21" hidden="1">
      <c r="C192" s="10" t="s">
        <v>25</v>
      </c>
      <c r="D192" s="2"/>
      <c r="E192" s="2"/>
      <c r="F192" s="21">
        <f>IF($B$191="Yes",7*14.73,0)</f>
        <v>0</v>
      </c>
      <c r="G192" s="21">
        <f>IF($B$191="Yes",50,0)</f>
        <v>0</v>
      </c>
      <c r="H192" s="21">
        <f>IF($B$191="Yes",50,0)</f>
        <v>0</v>
      </c>
      <c r="I192" s="21">
        <f>IF($B$191="Yes",50,0)</f>
        <v>0</v>
      </c>
      <c r="J192" s="21">
        <f>IF($B$191="Yes",45,0)</f>
        <v>0</v>
      </c>
      <c r="K192" s="21"/>
      <c r="L192" s="21"/>
      <c r="M192" s="21"/>
      <c r="N192" s="21"/>
      <c r="O192" s="21"/>
      <c r="P192" s="21"/>
      <c r="Q192" s="21"/>
      <c r="R192" s="21"/>
      <c r="S192" s="21"/>
      <c r="T192" s="21"/>
    </row>
    <row r="193" spans="1:21" ht="1.5" customHeight="1" thickBot="1">
      <c r="A193" s="1085" t="b">
        <v>0</v>
      </c>
      <c r="B193" s="14"/>
      <c r="C193" s="20" t="s">
        <v>26</v>
      </c>
      <c r="D193" s="2"/>
      <c r="E193" s="2"/>
      <c r="F193" s="21">
        <f>IF(B191="Yes",18.8,0)</f>
        <v>0</v>
      </c>
      <c r="G193" s="21">
        <f>F193</f>
        <v>0</v>
      </c>
      <c r="H193" s="21">
        <f t="shared" ref="H193:N193" si="32">G193</f>
        <v>0</v>
      </c>
      <c r="I193" s="21">
        <f t="shared" si="32"/>
        <v>0</v>
      </c>
      <c r="J193" s="21">
        <f t="shared" si="32"/>
        <v>0</v>
      </c>
      <c r="K193" s="21">
        <f t="shared" si="32"/>
        <v>0</v>
      </c>
      <c r="L193" s="21">
        <f t="shared" si="32"/>
        <v>0</v>
      </c>
      <c r="M193" s="21">
        <f t="shared" si="32"/>
        <v>0</v>
      </c>
      <c r="N193" s="21">
        <f t="shared" si="32"/>
        <v>0</v>
      </c>
      <c r="O193" s="21">
        <f t="shared" ref="O193:T193" si="33">N193</f>
        <v>0</v>
      </c>
      <c r="P193" s="21">
        <f t="shared" si="33"/>
        <v>0</v>
      </c>
      <c r="Q193" s="21">
        <f t="shared" si="33"/>
        <v>0</v>
      </c>
      <c r="R193" s="21">
        <f t="shared" si="33"/>
        <v>0</v>
      </c>
      <c r="S193" s="21">
        <f t="shared" si="33"/>
        <v>0</v>
      </c>
      <c r="T193" s="21">
        <f t="shared" si="33"/>
        <v>0</v>
      </c>
    </row>
    <row r="194" spans="1:21" ht="13.5" customHeight="1" thickBot="1">
      <c r="A194" s="1085" t="b">
        <v>0</v>
      </c>
      <c r="B194" s="13" t="str">
        <f>IF(A194=TRUE,"Yes","No")</f>
        <v>No</v>
      </c>
      <c r="C194" s="20" t="s">
        <v>821</v>
      </c>
      <c r="D194" s="2"/>
      <c r="E194" s="2"/>
      <c r="F194" s="21">
        <f>IF($B$194="yes",'Ambler and Juneau Road'!D4,0)</f>
        <v>0</v>
      </c>
      <c r="G194" s="21">
        <f>IF($B$194="yes",'Ambler and Juneau Road'!E4,0)</f>
        <v>0</v>
      </c>
      <c r="H194" s="21">
        <f>IF($B$194="yes",'Ambler and Juneau Road'!F4,0)</f>
        <v>0</v>
      </c>
      <c r="I194" s="21">
        <f>IF($B$194="yes",'Ambler and Juneau Road'!G4,0)</f>
        <v>0</v>
      </c>
      <c r="J194" s="21">
        <f>IF($B$194="yes",'Ambler and Juneau Road'!H4,0)</f>
        <v>0</v>
      </c>
      <c r="K194" s="21">
        <f>IF($B$194="yes",'Ambler and Juneau Road'!I4,0)</f>
        <v>0</v>
      </c>
      <c r="L194" s="21">
        <f>IF($B$194="yes",'Ambler and Juneau Road'!J4,0)</f>
        <v>0</v>
      </c>
      <c r="M194" s="21">
        <f>IF($B$194="yes",'Ambler and Juneau Road'!K4,0)</f>
        <v>0</v>
      </c>
      <c r="N194" s="21">
        <f>IF($B$194="yes",'Ambler and Juneau Road'!L4,0)</f>
        <v>0</v>
      </c>
      <c r="O194" s="21">
        <f>IF($B$194="yes",'Ambler and Juneau Road'!M4,0)</f>
        <v>0</v>
      </c>
      <c r="P194" s="21">
        <f>IF($B$194="yes",'Ambler and Juneau Road'!N4,0)</f>
        <v>0</v>
      </c>
      <c r="Q194" s="21">
        <f>IF($B$194="yes",'Ambler and Juneau Road'!O4,0)</f>
        <v>0</v>
      </c>
      <c r="R194" s="21">
        <f>IF($B$194="yes",'Ambler and Juneau Road'!P4,0)</f>
        <v>0</v>
      </c>
      <c r="S194" s="21">
        <f>IF($B$194="yes",'Ambler and Juneau Road'!Q4,0)</f>
        <v>0</v>
      </c>
      <c r="T194" s="21">
        <f>IF($B$194="yes",'Ambler and Juneau Road'!R4,0)</f>
        <v>0</v>
      </c>
    </row>
    <row r="195" spans="1:21" ht="16.5" customHeight="1" thickBot="1">
      <c r="A195" s="1085" t="b">
        <v>0</v>
      </c>
      <c r="B195" s="13" t="str">
        <f>IF(A195=TRUE,"Yes","No")</f>
        <v>No</v>
      </c>
      <c r="C195" s="20" t="s">
        <v>828</v>
      </c>
      <c r="D195" s="2"/>
      <c r="E195" s="2"/>
      <c r="F195" s="21">
        <f>IF($B$195="yes",'Ambler and Juneau Road'!D11,0)</f>
        <v>0</v>
      </c>
      <c r="G195" s="21">
        <f>IF($B$195="yes",'Ambler and Juneau Road'!E11,0)</f>
        <v>0</v>
      </c>
      <c r="H195" s="21">
        <f>IF($B$195="yes",'Ambler and Juneau Road'!F11,0)</f>
        <v>0</v>
      </c>
      <c r="I195" s="21">
        <f>IF($B$195="yes",'Ambler and Juneau Road'!G11,0)</f>
        <v>0</v>
      </c>
      <c r="J195" s="21">
        <f>IF($B$195="yes",'Ambler and Juneau Road'!H11,0)</f>
        <v>0</v>
      </c>
      <c r="K195" s="21">
        <f>IF($B$195="yes",'Ambler and Juneau Road'!I11,0)</f>
        <v>0</v>
      </c>
      <c r="L195" s="21">
        <f>IF($B$195="yes",'Ambler and Juneau Road'!J11,0)</f>
        <v>0</v>
      </c>
      <c r="M195" s="21">
        <f>IF($B$195="yes",'Ambler and Juneau Road'!K11,0)</f>
        <v>0</v>
      </c>
      <c r="N195" s="21">
        <f>IF($B$195="yes",'Ambler and Juneau Road'!L11,0)</f>
        <v>0</v>
      </c>
      <c r="O195" s="21">
        <f>IF($B$195="yes",'Ambler and Juneau Road'!M11,0)</f>
        <v>0</v>
      </c>
      <c r="P195" s="21">
        <f>IF($B$195="yes",'Ambler and Juneau Road'!N11,0)</f>
        <v>0</v>
      </c>
      <c r="Q195" s="21">
        <f>IF($B$195="yes",'Ambler and Juneau Road'!O11,0)</f>
        <v>0</v>
      </c>
      <c r="R195" s="21">
        <f>IF($B$195="yes",'Ambler and Juneau Road'!P11,0)</f>
        <v>0</v>
      </c>
      <c r="S195" s="21">
        <f>IF($B$195="yes",'Ambler and Juneau Road'!Q11,0)</f>
        <v>0</v>
      </c>
      <c r="T195" s="21">
        <f>IF($B$195="yes",'Ambler and Juneau Road'!R11,0)</f>
        <v>0</v>
      </c>
    </row>
    <row r="196" spans="1:21" ht="17.25">
      <c r="B196" s="14"/>
      <c r="C196" s="32" t="s">
        <v>33</v>
      </c>
      <c r="D196" s="33">
        <f>SUM(D188:D193)+SUM(D194:D195)</f>
        <v>67.2</v>
      </c>
      <c r="E196" s="33">
        <f t="shared" ref="E196:T196" si="34">SUM(E188:E193)+SUM(E194:E195)</f>
        <v>124.25512682304186</v>
      </c>
      <c r="F196" s="33">
        <f t="shared" si="34"/>
        <v>0</v>
      </c>
      <c r="G196" s="33">
        <f t="shared" si="34"/>
        <v>0</v>
      </c>
      <c r="H196" s="33">
        <f t="shared" si="34"/>
        <v>0</v>
      </c>
      <c r="I196" s="33">
        <f t="shared" si="34"/>
        <v>0</v>
      </c>
      <c r="J196" s="33">
        <f t="shared" si="34"/>
        <v>0</v>
      </c>
      <c r="K196" s="33">
        <f t="shared" si="34"/>
        <v>0</v>
      </c>
      <c r="L196" s="33">
        <f t="shared" si="34"/>
        <v>0</v>
      </c>
      <c r="M196" s="33">
        <f t="shared" si="34"/>
        <v>0</v>
      </c>
      <c r="N196" s="33">
        <f t="shared" si="34"/>
        <v>0</v>
      </c>
      <c r="O196" s="33">
        <f t="shared" si="34"/>
        <v>0</v>
      </c>
      <c r="P196" s="33">
        <f t="shared" si="34"/>
        <v>0</v>
      </c>
      <c r="Q196" s="33">
        <f t="shared" si="34"/>
        <v>0</v>
      </c>
      <c r="R196" s="33">
        <f t="shared" si="34"/>
        <v>0</v>
      </c>
      <c r="S196" s="33">
        <f t="shared" si="34"/>
        <v>0</v>
      </c>
      <c r="T196" s="33">
        <f t="shared" si="34"/>
        <v>0</v>
      </c>
    </row>
    <row r="197" spans="1:21" ht="17.25">
      <c r="B197" s="14"/>
      <c r="C197" s="32" t="s">
        <v>385</v>
      </c>
      <c r="D197" s="33">
        <f t="shared" ref="D197:T197" si="35">D184+D196</f>
        <v>7117.2</v>
      </c>
      <c r="E197" s="33">
        <f t="shared" si="35"/>
        <v>6102.9785268230426</v>
      </c>
      <c r="F197" s="33">
        <f t="shared" si="35"/>
        <v>5334.7234000000008</v>
      </c>
      <c r="G197" s="33">
        <f t="shared" si="35"/>
        <v>5434.4617437474999</v>
      </c>
      <c r="H197" s="33">
        <f t="shared" si="35"/>
        <v>5556.7371329818179</v>
      </c>
      <c r="I197" s="33">
        <f t="shared" si="35"/>
        <v>5681.7637184739096</v>
      </c>
      <c r="J197" s="33">
        <f t="shared" si="35"/>
        <v>5809.6034021395726</v>
      </c>
      <c r="K197" s="33">
        <f t="shared" si="35"/>
        <v>5940.319478687712</v>
      </c>
      <c r="L197" s="33">
        <f t="shared" si="35"/>
        <v>6073.9766669581859</v>
      </c>
      <c r="M197" s="33">
        <f t="shared" si="35"/>
        <v>6210.6411419647447</v>
      </c>
      <c r="N197" s="33">
        <f t="shared" si="35"/>
        <v>6350.3805676589518</v>
      </c>
      <c r="O197" s="33">
        <f t="shared" si="35"/>
        <v>6493.2641304312765</v>
      </c>
      <c r="P197" s="33">
        <f t="shared" si="35"/>
        <v>6639.3625733659801</v>
      </c>
      <c r="Q197" s="33">
        <f t="shared" si="35"/>
        <v>6788.7482312667153</v>
      </c>
      <c r="R197" s="33">
        <f t="shared" si="35"/>
        <v>6941.4950664702155</v>
      </c>
      <c r="S197" s="33">
        <f t="shared" si="35"/>
        <v>7097.6787054657943</v>
      </c>
      <c r="T197" s="33">
        <f t="shared" si="35"/>
        <v>7257.3764763387744</v>
      </c>
    </row>
    <row r="198" spans="1:21" ht="7.5" customHeight="1">
      <c r="B198" s="14"/>
    </row>
    <row r="199" spans="1:21" ht="15.75" thickBot="1">
      <c r="B199" s="14"/>
      <c r="C199" s="22" t="s">
        <v>29</v>
      </c>
      <c r="D199" s="23">
        <f>D178-D184-D196</f>
        <v>-1723.2</v>
      </c>
      <c r="E199" s="23">
        <f>E178-E184-E196</f>
        <v>-3748.9785268230426</v>
      </c>
      <c r="F199" s="23">
        <f t="shared" ref="F199:T199" si="36">F178-F197</f>
        <v>-3023.3234000000007</v>
      </c>
      <c r="G199" s="23">
        <f t="shared" si="36"/>
        <v>-3063.0617437474998</v>
      </c>
      <c r="H199" s="23">
        <f t="shared" si="36"/>
        <v>-3210.3371329818178</v>
      </c>
      <c r="I199" s="23">
        <f t="shared" si="36"/>
        <v>-3418.1637184739097</v>
      </c>
      <c r="J199" s="23">
        <f t="shared" si="36"/>
        <v>-3612.3034021395724</v>
      </c>
      <c r="K199" s="23">
        <f t="shared" si="36"/>
        <v>-3815.7194786877121</v>
      </c>
      <c r="L199" s="23">
        <f t="shared" si="36"/>
        <v>-4030.6766669581862</v>
      </c>
      <c r="M199" s="23">
        <f t="shared" si="36"/>
        <v>-4231.3411419647446</v>
      </c>
      <c r="N199" s="23">
        <f t="shared" si="36"/>
        <v>-4447.3805676589518</v>
      </c>
      <c r="O199" s="23">
        <f t="shared" si="36"/>
        <v>-4665.9641304312763</v>
      </c>
      <c r="P199" s="23">
        <f t="shared" si="36"/>
        <v>-4890.1625733659803</v>
      </c>
      <c r="Q199" s="23">
        <f t="shared" si="36"/>
        <v>-5123.2482312667153</v>
      </c>
      <c r="R199" s="23">
        <f t="shared" si="36"/>
        <v>-5309.4950664702155</v>
      </c>
      <c r="S199" s="23">
        <f t="shared" si="36"/>
        <v>-5493.6787054657943</v>
      </c>
      <c r="T199" s="23">
        <f t="shared" si="36"/>
        <v>-5728.9764763387739</v>
      </c>
    </row>
    <row r="200" spans="1:21" ht="7.5" customHeight="1" thickTop="1">
      <c r="B200" s="14"/>
    </row>
    <row r="201" spans="1:21" ht="15" customHeight="1">
      <c r="B201" s="14"/>
      <c r="D201" s="31" t="s">
        <v>0</v>
      </c>
      <c r="E201" s="31" t="s">
        <v>1</v>
      </c>
      <c r="F201" s="31" t="s">
        <v>2</v>
      </c>
      <c r="G201" s="31" t="s">
        <v>3</v>
      </c>
      <c r="H201" s="31" t="s">
        <v>4</v>
      </c>
      <c r="I201" s="31" t="s">
        <v>5</v>
      </c>
      <c r="J201" s="31" t="s">
        <v>6</v>
      </c>
      <c r="K201" s="31" t="s">
        <v>7</v>
      </c>
      <c r="L201" s="31" t="s">
        <v>8</v>
      </c>
      <c r="M201" s="31" t="s">
        <v>9</v>
      </c>
      <c r="N201" s="31" t="s">
        <v>21</v>
      </c>
      <c r="O201" s="31" t="s">
        <v>35</v>
      </c>
      <c r="P201" s="31" t="s">
        <v>36</v>
      </c>
      <c r="Q201" s="31" t="s">
        <v>37</v>
      </c>
      <c r="R201" s="31" t="s">
        <v>38</v>
      </c>
      <c r="S201" s="31" t="s">
        <v>39</v>
      </c>
      <c r="T201" s="31" t="s">
        <v>40</v>
      </c>
    </row>
    <row r="202" spans="1:21">
      <c r="B202" s="14"/>
      <c r="C202" t="s">
        <v>11</v>
      </c>
      <c r="M202" s="5"/>
      <c r="O202" s="5"/>
      <c r="Q202" s="5"/>
      <c r="S202" s="5"/>
      <c r="T202" s="5"/>
    </row>
    <row r="203" spans="1:21">
      <c r="B203" s="14"/>
      <c r="C203" s="3" t="s">
        <v>10</v>
      </c>
      <c r="D203" s="4"/>
      <c r="E203" s="12">
        <v>0</v>
      </c>
      <c r="F203" s="7"/>
      <c r="G203" s="7"/>
      <c r="H203" s="7"/>
      <c r="I203" s="7"/>
      <c r="J203" s="7"/>
      <c r="K203" s="7"/>
      <c r="L203" s="7"/>
      <c r="M203" s="7"/>
      <c r="N203" s="7"/>
      <c r="O203" s="7"/>
      <c r="P203" s="7"/>
      <c r="Q203" s="7"/>
      <c r="R203" s="7"/>
      <c r="S203" s="7"/>
      <c r="T203" s="7"/>
    </row>
    <row r="204" spans="1:21">
      <c r="B204" s="14"/>
      <c r="C204" s="3" t="s">
        <v>31</v>
      </c>
      <c r="D204" s="4"/>
      <c r="E204" s="12">
        <v>9010.4</v>
      </c>
      <c r="F204" s="7"/>
      <c r="G204" s="7"/>
      <c r="H204" s="7"/>
      <c r="I204" s="7"/>
      <c r="J204" s="7"/>
      <c r="K204" s="7"/>
      <c r="L204" s="7"/>
      <c r="M204" s="7"/>
      <c r="N204" s="7"/>
      <c r="O204" s="7"/>
      <c r="P204" s="7"/>
      <c r="Q204" s="7"/>
      <c r="R204" s="7"/>
      <c r="S204" s="7"/>
      <c r="T204" s="7"/>
    </row>
    <row r="205" spans="1:21">
      <c r="B205" s="14"/>
      <c r="C205" s="3" t="s">
        <v>802</v>
      </c>
      <c r="D205" s="4"/>
      <c r="E205" s="37">
        <f>SUM(E203:E204)</f>
        <v>9010.4</v>
      </c>
      <c r="F205" s="38">
        <f>IF(E205+F199&lt;0,0,((E205*($D$217+$D$218)/2)+(((E205+F199)*($D$217+$D$218)/2)+E205+F199)))</f>
        <v>6334.2681832899989</v>
      </c>
      <c r="G205" s="38">
        <f t="shared" ref="G205:T205" si="37">IF(F205+G199&lt;0,0,((F205*($D$217+$D$218)/2)+(((F205+G199)*($D$217+$D$218)/2)+F205+G199)))</f>
        <v>3493.5731770610714</v>
      </c>
      <c r="H205" s="38">
        <f t="shared" si="37"/>
        <v>370.66917754865199</v>
      </c>
      <c r="I205" s="38">
        <f t="shared" si="37"/>
        <v>0</v>
      </c>
      <c r="J205" s="38">
        <f t="shared" si="37"/>
        <v>0</v>
      </c>
      <c r="K205" s="38">
        <f t="shared" si="37"/>
        <v>0</v>
      </c>
      <c r="L205" s="38">
        <f t="shared" si="37"/>
        <v>0</v>
      </c>
      <c r="M205" s="38">
        <f t="shared" si="37"/>
        <v>0</v>
      </c>
      <c r="N205" s="38">
        <f t="shared" si="37"/>
        <v>0</v>
      </c>
      <c r="O205" s="38">
        <f t="shared" si="37"/>
        <v>0</v>
      </c>
      <c r="P205" s="38">
        <f t="shared" si="37"/>
        <v>0</v>
      </c>
      <c r="Q205" s="38">
        <f t="shared" si="37"/>
        <v>0</v>
      </c>
      <c r="R205" s="38">
        <f t="shared" si="37"/>
        <v>0</v>
      </c>
      <c r="S205" s="38">
        <f t="shared" si="37"/>
        <v>0</v>
      </c>
      <c r="T205" s="38">
        <f t="shared" si="37"/>
        <v>0</v>
      </c>
    </row>
    <row r="206" spans="1:21">
      <c r="B206" s="14"/>
      <c r="C206" s="317" t="s">
        <v>380</v>
      </c>
      <c r="D206" s="4"/>
      <c r="E206" s="318">
        <f>E210</f>
        <v>53664.054260000004</v>
      </c>
      <c r="F206" s="318">
        <f>IF($A$15=1,F210,IF($A$15=2,Endowment!N63,Endowment!N45))</f>
        <v>56388.411371279217</v>
      </c>
      <c r="G206" s="318">
        <f>IF($A$15=1,G210,IF($A$15=2,Endowment!O63,Endowment!O45))</f>
        <v>59177.370301724928</v>
      </c>
      <c r="H206" s="318">
        <f>IF($A$15=1,H210,IF($A$15=2,Endowment!P63,Endowment!P45))</f>
        <v>62112.246276567603</v>
      </c>
      <c r="I206" s="318">
        <f>IF($A$15=1,I210,IF($A$15=2,Endowment!Q63,Endowment!Q45))</f>
        <v>65284.771601663546</v>
      </c>
      <c r="J206" s="318">
        <f>IF($A$15=1,J210,IF($A$15=2,Endowment!R63,Endowment!R45))</f>
        <v>68595.988663277894</v>
      </c>
      <c r="K206" s="318">
        <f>IF($A$15=1,K210,IF($A$15=2,Endowment!S63,Endowment!S45))</f>
        <v>72002.487098949496</v>
      </c>
      <c r="L206" s="318">
        <f>IF($A$15=1,L210,IF($A$15=2,Endowment!T63,Endowment!T45))</f>
        <v>75502.322855668041</v>
      </c>
      <c r="M206" s="318">
        <f>IF($A$15=1,M210,IF($A$15=2,Endowment!U63,Endowment!U45))</f>
        <v>79124.523321719404</v>
      </c>
      <c r="N206" s="318">
        <f>IF($A$15=1,N210,IF($A$15=2,Endowment!V63,Endowment!V45))</f>
        <v>82873.118799037868</v>
      </c>
      <c r="O206" s="318">
        <f>IF($A$15=1,O210,IF($A$15=2,Endowment!W63,Endowment!W45))</f>
        <v>86721.400580779562</v>
      </c>
      <c r="P206" s="318">
        <f>IF($A$15=1,P210,IF($A$15=2,Endowment!X63,Endowment!X45))</f>
        <v>90696.592636564106</v>
      </c>
      <c r="Q206" s="318">
        <f>IF($A$15=1,Q210,IF($A$15=2,Endowment!Y63,Endowment!Y45))</f>
        <v>94780.149404944415</v>
      </c>
      <c r="R206" s="318">
        <f>IF($A$15=1,R210,IF($A$15=2,Endowment!Z63,Endowment!Z45))</f>
        <v>99003.997789942427</v>
      </c>
      <c r="S206" s="318">
        <f>IF($A$15=1,S210,IF($A$15=2,Endowment!AA63,Endowment!AA45))</f>
        <v>103376.82749938857</v>
      </c>
      <c r="T206" s="318">
        <f>IF($A$15=1,T210,IF($A$15=2,Endowment!AB63,Endowment!AB45))</f>
        <v>107905.81899441604</v>
      </c>
      <c r="U206" s="10"/>
    </row>
    <row r="207" spans="1:21">
      <c r="B207" s="14"/>
      <c r="C207" s="3" t="s">
        <v>381</v>
      </c>
      <c r="D207" s="4"/>
      <c r="E207" s="318">
        <f>IF($B$15="No",0,E211)</f>
        <v>6846.2068491700065</v>
      </c>
      <c r="F207" s="318">
        <f t="shared" ref="F207:T207" si="38">IF($B$15="No",0,F211)</f>
        <v>7353.8578830919969</v>
      </c>
      <c r="G207" s="318">
        <f t="shared" si="38"/>
        <v>7815.1335015870663</v>
      </c>
      <c r="H207" s="318">
        <f t="shared" si="38"/>
        <v>8356.302554295793</v>
      </c>
      <c r="I207" s="318">
        <f t="shared" si="38"/>
        <v>9056.2468760793581</v>
      </c>
      <c r="J207" s="318">
        <f t="shared" si="38"/>
        <v>9821.7862330316584</v>
      </c>
      <c r="K207" s="318">
        <f t="shared" si="38"/>
        <v>10632.559299160053</v>
      </c>
      <c r="L207" s="318">
        <f t="shared" si="38"/>
        <v>11401.849147092846</v>
      </c>
      <c r="M207" s="318">
        <f t="shared" si="38"/>
        <v>12043.528747491526</v>
      </c>
      <c r="N207" s="318">
        <f t="shared" si="38"/>
        <v>13379.5440154472</v>
      </c>
      <c r="O207" s="318">
        <f t="shared" si="38"/>
        <v>14401.298435755229</v>
      </c>
      <c r="P207" s="318">
        <f t="shared" si="38"/>
        <v>14761.330896649108</v>
      </c>
      <c r="Q207" s="318">
        <f t="shared" si="38"/>
        <v>15130.364169065335</v>
      </c>
      <c r="R207" s="318">
        <f t="shared" si="38"/>
        <v>15508.623273291967</v>
      </c>
      <c r="S207" s="318">
        <f t="shared" si="38"/>
        <v>15896.338855124264</v>
      </c>
      <c r="T207" s="318">
        <f t="shared" si="38"/>
        <v>16293.747326502369</v>
      </c>
      <c r="U207" s="10"/>
    </row>
    <row r="208" spans="1:21">
      <c r="B208" s="14"/>
      <c r="C208" s="3" t="s">
        <v>801</v>
      </c>
      <c r="D208" s="4"/>
      <c r="E208" s="318">
        <f>IF(A15=1,E211,0)</f>
        <v>6846.2068491700065</v>
      </c>
      <c r="F208" s="318">
        <f>IF($A$15=1,MAX(IF(F205&gt;0,F211-E211+E208,F211-E211+E208+IF(F199&lt;0,F199,0)),0),0)</f>
        <v>7353.8578830919969</v>
      </c>
      <c r="G208" s="318">
        <f t="shared" ref="G208:T208" si="39">IF($A$15=1,MAX(IF(G205&gt;0,G211-F211+F208,G211-F211+F208+IF(G199&lt;0,G199,0)),0),0)</f>
        <v>7815.1335015870663</v>
      </c>
      <c r="H208" s="318">
        <f t="shared" si="39"/>
        <v>8356.302554295793</v>
      </c>
      <c r="I208" s="318">
        <f t="shared" si="39"/>
        <v>5638.0831576054479</v>
      </c>
      <c r="J208" s="318">
        <f t="shared" si="39"/>
        <v>2791.3191124181758</v>
      </c>
      <c r="K208" s="318">
        <f t="shared" si="39"/>
        <v>0</v>
      </c>
      <c r="L208" s="318">
        <f t="shared" si="39"/>
        <v>0</v>
      </c>
      <c r="M208" s="318">
        <f t="shared" si="39"/>
        <v>0</v>
      </c>
      <c r="N208" s="318">
        <f t="shared" si="39"/>
        <v>0</v>
      </c>
      <c r="O208" s="318">
        <f t="shared" si="39"/>
        <v>0</v>
      </c>
      <c r="P208" s="318">
        <f t="shared" si="39"/>
        <v>0</v>
      </c>
      <c r="Q208" s="318">
        <f t="shared" si="39"/>
        <v>0</v>
      </c>
      <c r="R208" s="318">
        <f t="shared" si="39"/>
        <v>0</v>
      </c>
      <c r="S208" s="318">
        <f t="shared" si="39"/>
        <v>0</v>
      </c>
      <c r="T208" s="318">
        <f t="shared" si="39"/>
        <v>0</v>
      </c>
      <c r="U208" s="10"/>
    </row>
    <row r="209" spans="2:21">
      <c r="B209" s="14"/>
      <c r="C209" s="3" t="s">
        <v>383</v>
      </c>
      <c r="D209" s="4"/>
      <c r="E209" s="318">
        <f>E206-E207+E208-IF(E207=0,E208,0)</f>
        <v>53664.054260000004</v>
      </c>
      <c r="F209" s="318">
        <f>F206-F207+F208-IF(F207=0,F208,0)</f>
        <v>56388.411371279217</v>
      </c>
      <c r="G209" s="318">
        <f t="shared" ref="G209:S209" si="40">G206-G207+G208-IF(G207=0,G208,0)</f>
        <v>59177.370301724928</v>
      </c>
      <c r="H209" s="318">
        <f t="shared" si="40"/>
        <v>62112.246276567603</v>
      </c>
      <c r="I209" s="318">
        <f t="shared" si="40"/>
        <v>61866.607883189638</v>
      </c>
      <c r="J209" s="318">
        <f t="shared" si="40"/>
        <v>61565.521542664414</v>
      </c>
      <c r="K209" s="318">
        <f t="shared" si="40"/>
        <v>61369.927799789439</v>
      </c>
      <c r="L209" s="318">
        <f t="shared" si="40"/>
        <v>64100.473708575199</v>
      </c>
      <c r="M209" s="318">
        <f t="shared" si="40"/>
        <v>67080.99457422788</v>
      </c>
      <c r="N209" s="318">
        <f t="shared" si="40"/>
        <v>69493.574783590666</v>
      </c>
      <c r="O209" s="318">
        <f t="shared" si="40"/>
        <v>72320.102145024328</v>
      </c>
      <c r="P209" s="318">
        <f t="shared" si="40"/>
        <v>75935.261739915004</v>
      </c>
      <c r="Q209" s="318">
        <f t="shared" si="40"/>
        <v>79649.785235879084</v>
      </c>
      <c r="R209" s="318">
        <f t="shared" si="40"/>
        <v>83495.374516650452</v>
      </c>
      <c r="S209" s="318">
        <f t="shared" si="40"/>
        <v>87480.488644264304</v>
      </c>
      <c r="T209" s="318">
        <f>T206-T207+T208-IF(T207=0,T208,0)</f>
        <v>91612.071667913668</v>
      </c>
      <c r="U209" s="10"/>
    </row>
    <row r="210" spans="2:21">
      <c r="B210" s="14"/>
      <c r="C210" s="3"/>
      <c r="D210" s="4"/>
      <c r="E210" s="894">
        <f>'Extended Forecast'!AQ21</f>
        <v>53664.054260000004</v>
      </c>
      <c r="F210" s="894">
        <f>'Extended Forecast'!AQ22</f>
        <v>56388.411371279217</v>
      </c>
      <c r="G210" s="894">
        <f>'Extended Forecast'!AQ23</f>
        <v>59177.370301724928</v>
      </c>
      <c r="H210" s="894">
        <f>'Extended Forecast'!AQ24</f>
        <v>62112.246276567603</v>
      </c>
      <c r="I210" s="894">
        <f>'Extended Forecast'!AQ25</f>
        <v>65284.771601663546</v>
      </c>
      <c r="J210" s="894">
        <f>'Extended Forecast'!AQ26</f>
        <v>68595.988663277894</v>
      </c>
      <c r="K210" s="894">
        <f>'Extended Forecast'!AQ27</f>
        <v>72002.487098949496</v>
      </c>
      <c r="L210" s="894">
        <f>'Extended Forecast'!AQ28</f>
        <v>75502.322855668041</v>
      </c>
      <c r="M210" s="894">
        <f>'Extended Forecast'!AQ29</f>
        <v>79124.523321719404</v>
      </c>
      <c r="N210" s="894">
        <f>'Extended Forecast'!AQ30</f>
        <v>82873.118799037868</v>
      </c>
      <c r="O210" s="894">
        <f>'Extended Forecast'!AQ31</f>
        <v>86721.400580779562</v>
      </c>
      <c r="P210" s="894">
        <f>'Extended Forecast'!AQ32</f>
        <v>90696.592636564106</v>
      </c>
      <c r="Q210" s="894">
        <f>'Extended Forecast'!AQ33</f>
        <v>94780.149404944415</v>
      </c>
      <c r="R210" s="894">
        <f>'Extended Forecast'!AQ34</f>
        <v>99003.997789942427</v>
      </c>
      <c r="S210" s="894">
        <f>'Extended Forecast'!AQ35</f>
        <v>103376.82749938857</v>
      </c>
      <c r="T210" s="894">
        <f>'Extended Forecast'!AQ36</f>
        <v>107905.81899441604</v>
      </c>
      <c r="U210" s="10"/>
    </row>
    <row r="211" spans="2:21">
      <c r="D211" s="4"/>
      <c r="E211" s="319">
        <v>6846.2068491700065</v>
      </c>
      <c r="F211" s="319">
        <v>7353.8578830919969</v>
      </c>
      <c r="G211" s="319">
        <v>7815.1335015870663</v>
      </c>
      <c r="H211" s="319">
        <v>8356.302554295793</v>
      </c>
      <c r="I211" s="319">
        <v>9056.2468760793581</v>
      </c>
      <c r="J211" s="319">
        <v>9821.7862330316584</v>
      </c>
      <c r="K211" s="319">
        <v>10632.559299160053</v>
      </c>
      <c r="L211" s="319">
        <v>11401.849147092846</v>
      </c>
      <c r="M211" s="319">
        <v>12043.528747491526</v>
      </c>
      <c r="N211" s="319">
        <v>13379.5440154472</v>
      </c>
      <c r="O211" s="319">
        <v>14401.298435755229</v>
      </c>
      <c r="P211" s="319">
        <f>O211*1.025</f>
        <v>14761.330896649108</v>
      </c>
      <c r="Q211" s="319">
        <f>P211*1.025</f>
        <v>15130.364169065335</v>
      </c>
      <c r="R211" s="319">
        <f>Q211*1.025</f>
        <v>15508.623273291967</v>
      </c>
      <c r="S211" s="319">
        <f>R211*1.025</f>
        <v>15896.338855124264</v>
      </c>
      <c r="T211" s="319">
        <f>S211*1.025</f>
        <v>16293.747326502369</v>
      </c>
      <c r="U211" s="3"/>
    </row>
    <row r="212" spans="2:21" ht="8.25" customHeight="1"/>
    <row r="213" spans="2:21">
      <c r="C213" s="25" t="s">
        <v>32</v>
      </c>
      <c r="D213" s="27"/>
      <c r="E213" s="27"/>
      <c r="F213" s="24">
        <f t="shared" ref="F213:N213" si="41">IF(F205=0,E205+F199,0)</f>
        <v>0</v>
      </c>
      <c r="G213" s="24">
        <f t="shared" si="41"/>
        <v>0</v>
      </c>
      <c r="H213" s="24">
        <f t="shared" si="41"/>
        <v>0</v>
      </c>
      <c r="I213" s="24">
        <f t="shared" si="41"/>
        <v>-3047.4945409252578</v>
      </c>
      <c r="J213" s="24">
        <f t="shared" si="41"/>
        <v>-3612.3034021395724</v>
      </c>
      <c r="K213" s="24">
        <f t="shared" si="41"/>
        <v>-3815.7194786877121</v>
      </c>
      <c r="L213" s="24">
        <f t="shared" si="41"/>
        <v>-4030.6766669581862</v>
      </c>
      <c r="M213" s="24">
        <f t="shared" si="41"/>
        <v>-4231.3411419647446</v>
      </c>
      <c r="N213" s="24">
        <f t="shared" si="41"/>
        <v>-4447.3805676589518</v>
      </c>
      <c r="O213" s="24">
        <f t="shared" ref="O213:T213" si="42">IF(O205=0,N205+O199,0)</f>
        <v>-4665.9641304312763</v>
      </c>
      <c r="P213" s="24">
        <f t="shared" si="42"/>
        <v>-4890.1625733659803</v>
      </c>
      <c r="Q213" s="24">
        <f t="shared" si="42"/>
        <v>-5123.2482312667153</v>
      </c>
      <c r="R213" s="24">
        <f t="shared" si="42"/>
        <v>-5309.4950664702155</v>
      </c>
      <c r="S213" s="24">
        <f t="shared" si="42"/>
        <v>-5493.6787054657943</v>
      </c>
      <c r="T213" s="24">
        <f t="shared" si="42"/>
        <v>-5728.9764763387739</v>
      </c>
    </row>
    <row r="214" spans="2:21">
      <c r="C214" s="25" t="s">
        <v>384</v>
      </c>
      <c r="D214" s="27"/>
      <c r="E214" s="27"/>
      <c r="F214" s="24"/>
      <c r="G214" s="24"/>
      <c r="H214" s="24"/>
      <c r="I214" s="24"/>
      <c r="J214" s="24"/>
      <c r="K214" s="24"/>
      <c r="L214" s="24"/>
      <c r="M214" s="24"/>
      <c r="N214" s="24"/>
    </row>
    <row r="215" spans="2:21" ht="7.5" customHeight="1"/>
    <row r="217" spans="2:21">
      <c r="C217" t="s">
        <v>541</v>
      </c>
      <c r="D217" s="113">
        <f>Graphs!C5</f>
        <v>2.2499999999999999E-2</v>
      </c>
      <c r="E217">
        <f>E205*(1+D217+D218)</f>
        <v>9427.5815199999997</v>
      </c>
      <c r="F217" s="5">
        <f>E217+$F$199</f>
        <v>6404.2581199999986</v>
      </c>
    </row>
    <row r="218" spans="2:21">
      <c r="C218" t="s">
        <v>542</v>
      </c>
      <c r="D218">
        <v>2.3800000000000002E-2</v>
      </c>
      <c r="F218">
        <f>(E205+F199)*(1+D218+D217)</f>
        <v>6264.2782465799983</v>
      </c>
      <c r="G218" s="5"/>
    </row>
    <row r="221" spans="2:21">
      <c r="C221" s="3" t="s">
        <v>870</v>
      </c>
    </row>
    <row r="222" spans="2:21">
      <c r="C222" s="10" t="s">
        <v>16</v>
      </c>
      <c r="D222" s="6">
        <v>7</v>
      </c>
      <c r="E222" s="6">
        <v>34.255126823041863</v>
      </c>
      <c r="F222" s="6">
        <v>55.803041717395992</v>
      </c>
      <c r="G222" s="6">
        <v>70.613185575921932</v>
      </c>
      <c r="H222" s="6">
        <v>74.305973157690659</v>
      </c>
      <c r="I222" s="6">
        <v>58.273556019322228</v>
      </c>
      <c r="J222" s="6">
        <v>316.19233118634594</v>
      </c>
      <c r="K222" s="6">
        <v>527.46021167251808</v>
      </c>
      <c r="L222" s="6">
        <v>626.58049525299668</v>
      </c>
      <c r="M222" s="6">
        <v>623.62330694450134</v>
      </c>
      <c r="N222" s="6">
        <v>824.92344972791966</v>
      </c>
      <c r="O222" s="6">
        <v>815.3472942327395</v>
      </c>
      <c r="P222" s="6">
        <v>201.59237277389275</v>
      </c>
      <c r="Q222" s="6">
        <v>77.159382114413489</v>
      </c>
      <c r="R222" s="6">
        <v>36.371679944612524</v>
      </c>
      <c r="S222" s="6">
        <v>0</v>
      </c>
      <c r="T222" s="6">
        <v>0</v>
      </c>
    </row>
    <row r="223" spans="2:21">
      <c r="C223" s="10" t="s">
        <v>408</v>
      </c>
      <c r="D223" s="6">
        <v>7</v>
      </c>
      <c r="E223" s="6">
        <v>71.694463526101217</v>
      </c>
      <c r="F223" s="6">
        <v>62.591988408887474</v>
      </c>
      <c r="G223" s="6">
        <v>80.433404829523781</v>
      </c>
      <c r="H223" s="6">
        <v>84.195931968902642</v>
      </c>
      <c r="I223" s="6">
        <v>65.15721037591014</v>
      </c>
      <c r="J223" s="6">
        <v>401.08247941730855</v>
      </c>
      <c r="K223" s="6">
        <v>665.413222315437</v>
      </c>
      <c r="L223" s="6">
        <v>825.2722713493971</v>
      </c>
      <c r="M223" s="6">
        <v>821.57380523142228</v>
      </c>
      <c r="N223" s="6">
        <v>955.9276905953102</v>
      </c>
      <c r="O223" s="6">
        <v>873.36436168268358</v>
      </c>
      <c r="P223" s="6">
        <v>201.59237277389275</v>
      </c>
      <c r="Q223" s="6">
        <v>77.159382114413489</v>
      </c>
      <c r="R223" s="6">
        <v>36.371679944612524</v>
      </c>
      <c r="S223" s="6">
        <v>0</v>
      </c>
      <c r="T223" s="6">
        <v>0</v>
      </c>
    </row>
    <row r="224" spans="2:21">
      <c r="C224" s="10" t="s">
        <v>407</v>
      </c>
      <c r="D224" s="6">
        <v>7</v>
      </c>
      <c r="E224" s="6">
        <v>147.91626601520343</v>
      </c>
      <c r="F224" s="6">
        <v>112.377597479825</v>
      </c>
      <c r="G224" s="6">
        <v>152.448346022604</v>
      </c>
      <c r="H224" s="6">
        <v>156.72229658445724</v>
      </c>
      <c r="I224" s="6">
        <v>115.63734232422141</v>
      </c>
      <c r="J224" s="6">
        <v>528.41770176375235</v>
      </c>
      <c r="K224" s="6">
        <v>872.34273827981519</v>
      </c>
      <c r="L224" s="6">
        <v>1123.3099354939975</v>
      </c>
      <c r="M224" s="6">
        <v>1118.4995526618036</v>
      </c>
      <c r="N224" s="6">
        <v>1152.4340518963959</v>
      </c>
      <c r="O224" s="6">
        <v>960.3899628575997</v>
      </c>
      <c r="P224" s="6">
        <v>201.59237277389275</v>
      </c>
      <c r="Q224" s="6">
        <v>77.159382114413489</v>
      </c>
      <c r="R224" s="6">
        <v>36.371679944612524</v>
      </c>
      <c r="S224" s="6">
        <v>0</v>
      </c>
      <c r="T224" s="6">
        <v>0</v>
      </c>
    </row>
    <row r="225" spans="1:20" hidden="1">
      <c r="C225" s="10" t="s">
        <v>407</v>
      </c>
      <c r="T225" s="6"/>
    </row>
    <row r="226" spans="1:20" hidden="1">
      <c r="C226" s="10" t="s">
        <v>407</v>
      </c>
      <c r="D226" s="6">
        <v>60.2</v>
      </c>
      <c r="E226" s="6">
        <v>90</v>
      </c>
      <c r="F226" s="6">
        <v>80</v>
      </c>
      <c r="G226" s="6">
        <v>80</v>
      </c>
      <c r="H226" s="6">
        <v>90.4</v>
      </c>
      <c r="I226" s="6">
        <v>241.7</v>
      </c>
      <c r="J226" s="6">
        <v>329.6</v>
      </c>
      <c r="K226" s="6">
        <v>742.6</v>
      </c>
      <c r="L226" s="6">
        <v>649.6</v>
      </c>
      <c r="M226" s="6">
        <v>508.4</v>
      </c>
      <c r="N226" s="6">
        <v>702.8</v>
      </c>
      <c r="T226" s="6"/>
    </row>
    <row r="227" spans="1:20">
      <c r="C227" s="10"/>
      <c r="T227" s="6"/>
    </row>
    <row r="228" spans="1:20">
      <c r="A228" s="1085">
        <v>5</v>
      </c>
      <c r="C228" s="10"/>
    </row>
    <row r="231" spans="1:20">
      <c r="E231" s="6">
        <f>IF(E208 = 0,NA(),E208)</f>
        <v>6846.2068491700065</v>
      </c>
      <c r="F231" s="6">
        <f t="shared" ref="F231:T231" si="43">IF(F208 = 0,NA(),F208)</f>
        <v>7353.8578830919969</v>
      </c>
      <c r="G231" s="6">
        <f t="shared" si="43"/>
        <v>7815.1335015870663</v>
      </c>
      <c r="H231" s="6">
        <f t="shared" si="43"/>
        <v>8356.302554295793</v>
      </c>
      <c r="I231" s="6">
        <f t="shared" si="43"/>
        <v>5638.0831576054479</v>
      </c>
      <c r="J231" s="6">
        <f t="shared" si="43"/>
        <v>2791.3191124181758</v>
      </c>
      <c r="K231" s="6" t="e">
        <f t="shared" si="43"/>
        <v>#N/A</v>
      </c>
      <c r="L231" s="6" t="e">
        <f t="shared" si="43"/>
        <v>#N/A</v>
      </c>
      <c r="M231" s="6" t="e">
        <f t="shared" si="43"/>
        <v>#N/A</v>
      </c>
      <c r="N231" s="6" t="e">
        <f>IF(N208 = 0,NA(),N208)</f>
        <v>#N/A</v>
      </c>
      <c r="O231" s="6" t="e">
        <f t="shared" si="43"/>
        <v>#N/A</v>
      </c>
      <c r="P231" s="6" t="e">
        <f t="shared" si="43"/>
        <v>#N/A</v>
      </c>
      <c r="Q231" s="6" t="e">
        <f t="shared" si="43"/>
        <v>#N/A</v>
      </c>
      <c r="R231" s="6" t="e">
        <f t="shared" si="43"/>
        <v>#N/A</v>
      </c>
      <c r="S231" s="6" t="e">
        <f t="shared" si="43"/>
        <v>#N/A</v>
      </c>
      <c r="T231" s="6" t="e">
        <f t="shared" si="43"/>
        <v>#N/A</v>
      </c>
    </row>
    <row r="235" spans="1:20">
      <c r="D235" t="s">
        <v>68</v>
      </c>
      <c r="E235" s="8">
        <f>ROUND((SUM(F235:T235))/1000,2)</f>
        <v>0</v>
      </c>
      <c r="F235" s="109">
        <f t="shared" ref="F235:T235" si="44">ROUND(F178-(F8),0)</f>
        <v>0</v>
      </c>
      <c r="G235" s="109">
        <f t="shared" si="44"/>
        <v>0</v>
      </c>
      <c r="H235" s="109">
        <f t="shared" si="44"/>
        <v>0</v>
      </c>
      <c r="I235" s="109">
        <f t="shared" si="44"/>
        <v>0</v>
      </c>
      <c r="J235" s="109">
        <f t="shared" si="44"/>
        <v>0</v>
      </c>
      <c r="K235" s="109">
        <f t="shared" si="44"/>
        <v>0</v>
      </c>
      <c r="L235" s="109">
        <f t="shared" si="44"/>
        <v>0</v>
      </c>
      <c r="M235" s="109">
        <f t="shared" si="44"/>
        <v>0</v>
      </c>
      <c r="N235" s="109">
        <f t="shared" si="44"/>
        <v>0</v>
      </c>
      <c r="O235" s="109">
        <f t="shared" si="44"/>
        <v>0</v>
      </c>
      <c r="P235" s="109">
        <f t="shared" si="44"/>
        <v>0</v>
      </c>
      <c r="Q235" s="109">
        <f t="shared" si="44"/>
        <v>0</v>
      </c>
      <c r="R235" s="109">
        <f t="shared" si="44"/>
        <v>0</v>
      </c>
      <c r="S235" s="109">
        <f t="shared" si="44"/>
        <v>0</v>
      </c>
      <c r="T235" s="109">
        <f t="shared" si="44"/>
        <v>0</v>
      </c>
    </row>
    <row r="238" spans="1:20">
      <c r="D238" t="s">
        <v>749</v>
      </c>
      <c r="E238" s="313">
        <f>5978.7234+124.3</f>
        <v>6103.0234</v>
      </c>
      <c r="F238" s="109">
        <f>'Budget Sensitivity'!F35/1000</f>
        <v>5334.7234000000008</v>
      </c>
      <c r="G238">
        <f>F238*(1+$D$217)</f>
        <v>5454.7546765000006</v>
      </c>
      <c r="H238">
        <f t="shared" ref="H238:T238" si="45">G238*(1+$D$217)</f>
        <v>5577.4866567212503</v>
      </c>
      <c r="I238">
        <f t="shared" si="45"/>
        <v>5702.9801064974781</v>
      </c>
      <c r="J238">
        <f t="shared" si="45"/>
        <v>5831.2971588936716</v>
      </c>
      <c r="K238">
        <f t="shared" si="45"/>
        <v>5962.5013449687794</v>
      </c>
      <c r="L238">
        <f t="shared" si="45"/>
        <v>6096.6576252305767</v>
      </c>
      <c r="M238">
        <f t="shared" si="45"/>
        <v>6233.8324217982645</v>
      </c>
      <c r="N238">
        <f t="shared" si="45"/>
        <v>6374.0936512887256</v>
      </c>
      <c r="O238">
        <f t="shared" si="45"/>
        <v>6517.5107584427215</v>
      </c>
      <c r="P238">
        <f t="shared" si="45"/>
        <v>6664.1547505076824</v>
      </c>
      <c r="Q238">
        <f t="shared" si="45"/>
        <v>6814.0982323941053</v>
      </c>
      <c r="R238">
        <f t="shared" si="45"/>
        <v>6967.4154426229725</v>
      </c>
      <c r="S238">
        <f t="shared" si="45"/>
        <v>7124.1822900819889</v>
      </c>
      <c r="T238">
        <f t="shared" si="45"/>
        <v>7284.4763916088332</v>
      </c>
    </row>
    <row r="239" spans="1:20">
      <c r="E239" s="8">
        <f>ROUND((SUM(F239:T239))/1000,2)</f>
        <v>0.33</v>
      </c>
      <c r="F239" s="109">
        <f t="shared" ref="F239:T239" si="46">ROUND(F238-F184-F196,0)</f>
        <v>0</v>
      </c>
      <c r="G239" s="109">
        <f t="shared" si="46"/>
        <v>20</v>
      </c>
      <c r="H239" s="109">
        <f t="shared" si="46"/>
        <v>21</v>
      </c>
      <c r="I239" s="109">
        <f t="shared" si="46"/>
        <v>21</v>
      </c>
      <c r="J239" s="109">
        <f t="shared" si="46"/>
        <v>22</v>
      </c>
      <c r="K239" s="109">
        <f t="shared" si="46"/>
        <v>22</v>
      </c>
      <c r="L239" s="109">
        <f t="shared" si="46"/>
        <v>23</v>
      </c>
      <c r="M239" s="109">
        <f t="shared" si="46"/>
        <v>23</v>
      </c>
      <c r="N239" s="109">
        <f t="shared" si="46"/>
        <v>24</v>
      </c>
      <c r="O239" s="109">
        <f t="shared" si="46"/>
        <v>24</v>
      </c>
      <c r="P239" s="109">
        <f t="shared" si="46"/>
        <v>25</v>
      </c>
      <c r="Q239" s="109">
        <f t="shared" si="46"/>
        <v>25</v>
      </c>
      <c r="R239" s="109">
        <f t="shared" si="46"/>
        <v>26</v>
      </c>
      <c r="S239" s="109">
        <f t="shared" si="46"/>
        <v>27</v>
      </c>
      <c r="T239" s="109">
        <f t="shared" si="46"/>
        <v>27</v>
      </c>
    </row>
    <row r="240" spans="1:20">
      <c r="E240" s="109">
        <f>SUM(F239:T239)</f>
        <v>330</v>
      </c>
    </row>
    <row r="243" spans="3:20">
      <c r="C243" t="s">
        <v>871</v>
      </c>
    </row>
    <row r="244" spans="3:20">
      <c r="C244" t="str">
        <f>C222</f>
        <v>AKLNG - 25% equity, TC, no buyback</v>
      </c>
      <c r="E244" s="6">
        <v>0.19632377449062233</v>
      </c>
      <c r="F244" s="6">
        <v>0.45357711635790565</v>
      </c>
      <c r="G244" s="6">
        <v>0.5900728054387514</v>
      </c>
      <c r="H244" s="6">
        <v>0.89851687754452314</v>
      </c>
      <c r="I244" s="6">
        <v>1.1080798636937175</v>
      </c>
      <c r="J244" s="6">
        <v>103.94957274113638</v>
      </c>
      <c r="K244" s="6">
        <v>169.48795017272454</v>
      </c>
      <c r="L244" s="6">
        <v>234.20260593181905</v>
      </c>
      <c r="M244" s="6">
        <v>247.87459170549158</v>
      </c>
      <c r="N244" s="6">
        <v>233.98825017081089</v>
      </c>
      <c r="O244" s="6">
        <v>213.95681261659934</v>
      </c>
      <c r="P244" s="6">
        <v>2663.2568638875355</v>
      </c>
      <c r="Q244" s="6">
        <v>3014.2095351818725</v>
      </c>
      <c r="R244" s="6">
        <v>2981.8421943034209</v>
      </c>
      <c r="S244" s="6">
        <v>2949.1348650138561</v>
      </c>
      <c r="T244" s="6">
        <v>3004.0190101089393</v>
      </c>
    </row>
    <row r="245" spans="3:20">
      <c r="C245" t="str">
        <f t="shared" ref="C245:C246" si="47">C223</f>
        <v>AKLNG - 25% equity, TC, Dec 15 with buyback</v>
      </c>
      <c r="E245" s="6">
        <v>0.19632377449062233</v>
      </c>
      <c r="F245" s="6">
        <v>0.45357711635790565</v>
      </c>
      <c r="G245" s="6">
        <v>0.5900728054387514</v>
      </c>
      <c r="H245" s="6">
        <v>0.89851687754452314</v>
      </c>
      <c r="I245" s="6">
        <v>1.1080798636937175</v>
      </c>
      <c r="J245" s="6">
        <v>103.94957274113638</v>
      </c>
      <c r="K245" s="6">
        <v>169.48795017272454</v>
      </c>
      <c r="L245" s="6">
        <v>234.20260593181905</v>
      </c>
      <c r="M245" s="6">
        <v>247.87459170549158</v>
      </c>
      <c r="N245" s="6">
        <v>233.98825017081089</v>
      </c>
      <c r="O245" s="6">
        <v>213.95681261659934</v>
      </c>
      <c r="P245" s="6">
        <v>2830.999772227422</v>
      </c>
      <c r="Q245" s="6">
        <v>3189.5416319293158</v>
      </c>
      <c r="R245" s="6">
        <v>3160.0751460200336</v>
      </c>
      <c r="S245" s="6">
        <v>3130.8271377756419</v>
      </c>
      <c r="T245" s="6">
        <v>3188.3368163786827</v>
      </c>
    </row>
    <row r="246" spans="3:20">
      <c r="C246" t="str">
        <f t="shared" si="47"/>
        <v>AKLNG - 25% equity, TC, Dec 15 TC removal</v>
      </c>
      <c r="E246" s="6">
        <v>0.19632377449062233</v>
      </c>
      <c r="F246" s="6">
        <v>0.45357711635790565</v>
      </c>
      <c r="G246" s="6">
        <v>0.5900728054387514</v>
      </c>
      <c r="H246" s="6">
        <v>0.89851687754452314</v>
      </c>
      <c r="I246" s="6">
        <v>1.1080798636937175</v>
      </c>
      <c r="J246" s="6">
        <v>103.94957274113638</v>
      </c>
      <c r="K246" s="6">
        <v>169.48795017272454</v>
      </c>
      <c r="L246" s="6">
        <v>234.20260593181905</v>
      </c>
      <c r="M246" s="6">
        <v>247.87459170549158</v>
      </c>
      <c r="N246" s="6">
        <v>233.98825017081089</v>
      </c>
      <c r="O246" s="6">
        <v>213.95681261659934</v>
      </c>
      <c r="P246" s="6">
        <v>3272.2746172216766</v>
      </c>
      <c r="Q246" s="6">
        <v>3619.3025549326135</v>
      </c>
      <c r="R246" s="6">
        <v>3593.4040629651645</v>
      </c>
      <c r="S246" s="6">
        <v>3568.5139593072345</v>
      </c>
      <c r="T246" s="6">
        <v>3629.1539343034719</v>
      </c>
    </row>
    <row r="264" spans="3:20">
      <c r="C264" t="s">
        <v>897</v>
      </c>
      <c r="E264">
        <v>1</v>
      </c>
      <c r="F264">
        <v>2</v>
      </c>
      <c r="G264">
        <v>3</v>
      </c>
      <c r="H264">
        <v>4</v>
      </c>
      <c r="I264">
        <v>5</v>
      </c>
      <c r="J264">
        <v>6</v>
      </c>
      <c r="K264">
        <v>7</v>
      </c>
      <c r="L264">
        <v>8</v>
      </c>
      <c r="M264">
        <v>9</v>
      </c>
      <c r="N264">
        <v>10</v>
      </c>
      <c r="O264">
        <v>11</v>
      </c>
      <c r="P264">
        <v>12</v>
      </c>
      <c r="Q264">
        <v>13</v>
      </c>
      <c r="R264">
        <v>14</v>
      </c>
      <c r="S264">
        <v>15</v>
      </c>
      <c r="T264">
        <v>16</v>
      </c>
    </row>
    <row r="265" spans="3:20">
      <c r="D265" s="8">
        <f>IF(B26="Yes",NPV($D$217,E265:T265),0)</f>
        <v>0</v>
      </c>
      <c r="E265">
        <v>0</v>
      </c>
      <c r="F265" s="346">
        <f>S25</f>
        <v>0</v>
      </c>
      <c r="G265">
        <f>F265</f>
        <v>0</v>
      </c>
      <c r="H265">
        <f t="shared" ref="H265:T265" si="48">G265</f>
        <v>0</v>
      </c>
      <c r="I265">
        <f t="shared" si="48"/>
        <v>0</v>
      </c>
      <c r="J265">
        <f t="shared" si="48"/>
        <v>0</v>
      </c>
      <c r="K265">
        <f t="shared" si="48"/>
        <v>0</v>
      </c>
      <c r="L265">
        <f t="shared" si="48"/>
        <v>0</v>
      </c>
      <c r="M265">
        <f t="shared" si="48"/>
        <v>0</v>
      </c>
      <c r="N265">
        <f t="shared" si="48"/>
        <v>0</v>
      </c>
      <c r="O265">
        <f t="shared" si="48"/>
        <v>0</v>
      </c>
      <c r="P265">
        <f t="shared" si="48"/>
        <v>0</v>
      </c>
      <c r="Q265">
        <f t="shared" si="48"/>
        <v>0</v>
      </c>
      <c r="R265">
        <f t="shared" si="48"/>
        <v>0</v>
      </c>
      <c r="S265">
        <f t="shared" si="48"/>
        <v>0</v>
      </c>
      <c r="T265">
        <f t="shared" si="48"/>
        <v>0</v>
      </c>
    </row>
  </sheetData>
  <sheetProtection password="CC29" sheet="1" objects="1" scenarios="1" selectLockedCells="1" selectUnlockedCells="1"/>
  <dataConsolidate/>
  <mergeCells count="5">
    <mergeCell ref="B2:T2"/>
    <mergeCell ref="B3:T3"/>
    <mergeCell ref="B4:T4"/>
    <mergeCell ref="B5:T5"/>
    <mergeCell ref="E60:E61"/>
  </mergeCells>
  <dataValidations count="3">
    <dataValidation type="list" allowBlank="1" showInputMessage="1" showErrorMessage="1" sqref="B188:B189 B164:B165 B162 B160 B116 B142 B169 B127 B113 B123:B125 B134 B181 B99 B79:B80 B55:B56 B191 B154 B103 B91 B48 B158 B136 B150 B146 B139 B130 B109 B95 B119 B72 B74 B60:B63">
      <formula1>$W$7:$W$8</formula1>
    </dataValidation>
    <dataValidation type="list" allowBlank="1" showInputMessage="1" showErrorMessage="1" sqref="C188">
      <formula1>$C$222:$C$224</formula1>
    </dataValidation>
    <dataValidation type="list" allowBlank="1" showInputMessage="1" showErrorMessage="1" sqref="B107">
      <formula1>$W$6:$W$7</formula1>
    </dataValidation>
  </dataValidations>
  <pageMargins left="0.7" right="0.7" top="0.75" bottom="0.75" header="0.3" footer="0.3"/>
  <pageSetup scale="19"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G88"/>
  <sheetViews>
    <sheetView workbookViewId="0">
      <selection activeCell="C30" sqref="C30"/>
    </sheetView>
  </sheetViews>
  <sheetFormatPr defaultRowHeight="15"/>
  <cols>
    <col min="1" max="1" width="12.85546875" bestFit="1" customWidth="1"/>
    <col min="2" max="2" width="34.28515625" customWidth="1"/>
    <col min="3" max="3" width="11.140625" bestFit="1" customWidth="1"/>
    <col min="6" max="12" width="11.140625" customWidth="1"/>
    <col min="13" max="13" width="16" customWidth="1"/>
    <col min="14" max="23" width="11.140625" customWidth="1"/>
    <col min="24" max="24" width="10.5703125" bestFit="1" customWidth="1"/>
    <col min="25" max="25" width="10.28515625" customWidth="1"/>
    <col min="26" max="28" width="12" bestFit="1" customWidth="1"/>
  </cols>
  <sheetData>
    <row r="1" spans="1:23">
      <c r="A1" s="29" t="s">
        <v>852</v>
      </c>
      <c r="B1" s="151">
        <v>2016</v>
      </c>
      <c r="C1" s="151">
        <v>2017</v>
      </c>
      <c r="D1" s="151">
        <v>2018</v>
      </c>
      <c r="E1" s="151">
        <v>2019</v>
      </c>
      <c r="F1" s="151">
        <v>2020</v>
      </c>
      <c r="G1" s="151">
        <v>2021</v>
      </c>
      <c r="H1" s="151">
        <v>2022</v>
      </c>
      <c r="I1" s="151">
        <v>2023</v>
      </c>
      <c r="J1" s="151">
        <v>2024</v>
      </c>
      <c r="K1" s="151">
        <v>2025</v>
      </c>
      <c r="L1" s="151">
        <v>2026</v>
      </c>
      <c r="M1" s="151">
        <v>2027</v>
      </c>
      <c r="N1" s="151">
        <v>2028</v>
      </c>
      <c r="O1" s="151">
        <v>2029</v>
      </c>
      <c r="P1" s="151">
        <v>2030</v>
      </c>
    </row>
    <row r="2" spans="1:23">
      <c r="A2" s="152">
        <v>0.05</v>
      </c>
      <c r="B2" s="112">
        <v>2299.16</v>
      </c>
      <c r="C2" s="112">
        <v>2441.4914050000002</v>
      </c>
      <c r="D2" s="112">
        <v>2590.9161473575</v>
      </c>
      <c r="E2" s="112">
        <v>2703.2349148964113</v>
      </c>
      <c r="F2" s="112">
        <v>2759.4116874900014</v>
      </c>
      <c r="G2" s="112">
        <v>2801.1733647231968</v>
      </c>
      <c r="H2" s="112">
        <v>2840.4832514590025</v>
      </c>
      <c r="I2" s="112">
        <v>2878.2207777644708</v>
      </c>
      <c r="J2" s="112">
        <v>2915.4061156336547</v>
      </c>
      <c r="K2" s="112">
        <v>2952.7566397744213</v>
      </c>
      <c r="L2" s="112">
        <v>2990.4707716270009</v>
      </c>
      <c r="M2" s="112">
        <v>3028.6113485194765</v>
      </c>
      <c r="N2" s="112">
        <v>3067.216289920234</v>
      </c>
      <c r="O2" s="112">
        <v>3106.3054800955802</v>
      </c>
      <c r="P2" s="112">
        <v>3145.8896618220911</v>
      </c>
    </row>
    <row r="3" spans="1:23">
      <c r="A3" s="152">
        <v>0.04</v>
      </c>
      <c r="B3" s="112">
        <v>1839.328</v>
      </c>
      <c r="C3" s="112">
        <v>1956.8717800000002</v>
      </c>
      <c r="D3" s="112">
        <v>2084.1934242299999</v>
      </c>
      <c r="E3" s="112">
        <v>2186.3626541863046</v>
      </c>
      <c r="F3" s="112">
        <v>2248.510590551432</v>
      </c>
      <c r="G3" s="112">
        <v>2304.2718602786035</v>
      </c>
      <c r="H3" s="112">
        <v>2359.7428972117668</v>
      </c>
      <c r="I3" s="112">
        <v>2415.4024339786256</v>
      </c>
      <c r="J3" s="112">
        <v>2471.8353601786575</v>
      </c>
      <c r="K3" s="112">
        <v>2529.4551296920527</v>
      </c>
      <c r="L3" s="112">
        <v>2588.3709587173962</v>
      </c>
      <c r="M3" s="112">
        <v>2648.6373184402883</v>
      </c>
      <c r="N3" s="112">
        <v>2710.2989039163094</v>
      </c>
      <c r="O3" s="112">
        <v>2773.3935051396047</v>
      </c>
      <c r="P3" s="112">
        <v>2837.9559591784455</v>
      </c>
    </row>
    <row r="4" spans="1:23">
      <c r="A4" s="119"/>
      <c r="B4" s="112"/>
      <c r="C4" s="112"/>
      <c r="D4" s="112"/>
      <c r="E4" s="112"/>
      <c r="F4" s="112"/>
      <c r="G4" s="112"/>
      <c r="H4" s="112"/>
      <c r="I4" s="112"/>
      <c r="J4" s="112"/>
      <c r="K4" s="112"/>
      <c r="L4" s="112"/>
      <c r="M4" s="112"/>
      <c r="N4" s="112"/>
      <c r="O4" s="112"/>
      <c r="P4" s="112"/>
    </row>
    <row r="6" spans="1:23" ht="15.75" thickBot="1"/>
    <row r="7" spans="1:23" ht="21">
      <c r="B7" s="150" t="s">
        <v>213</v>
      </c>
      <c r="C7" s="149"/>
      <c r="D7" s="149"/>
      <c r="E7" s="149"/>
      <c r="F7" s="149"/>
      <c r="G7" s="149"/>
      <c r="H7" s="149"/>
      <c r="I7" s="149"/>
      <c r="J7" s="149"/>
      <c r="K7" s="149"/>
      <c r="L7" s="149"/>
      <c r="M7" s="149"/>
      <c r="N7" s="149"/>
      <c r="O7" s="149"/>
      <c r="P7" s="149"/>
      <c r="Q7" s="149"/>
      <c r="R7" s="149"/>
      <c r="S7" s="149"/>
      <c r="T7" s="149"/>
      <c r="U7" s="149"/>
      <c r="V7" s="149"/>
      <c r="W7" s="148"/>
    </row>
    <row r="8" spans="1:23">
      <c r="B8" s="147" t="s">
        <v>212</v>
      </c>
      <c r="C8" s="141"/>
      <c r="D8" s="141"/>
      <c r="E8" s="141"/>
      <c r="F8" s="141"/>
      <c r="G8" s="141"/>
      <c r="H8" s="141"/>
      <c r="I8" s="141"/>
      <c r="J8" s="141"/>
      <c r="K8" s="141"/>
      <c r="L8" s="141"/>
      <c r="M8" s="141"/>
      <c r="N8" s="141"/>
      <c r="O8" s="141"/>
      <c r="P8" s="141"/>
      <c r="Q8" s="141"/>
      <c r="R8" s="141"/>
      <c r="S8" s="141"/>
      <c r="T8" s="141"/>
      <c r="U8" s="141"/>
      <c r="V8" s="141"/>
      <c r="W8" s="146"/>
    </row>
    <row r="9" spans="1:23">
      <c r="B9" s="145" t="s">
        <v>211</v>
      </c>
      <c r="C9" s="141"/>
      <c r="D9" s="141"/>
      <c r="E9" s="141"/>
      <c r="F9" s="141"/>
      <c r="G9" s="141"/>
      <c r="H9" s="141"/>
      <c r="I9" s="141"/>
      <c r="J9" s="141"/>
      <c r="K9" s="141"/>
      <c r="L9" s="141"/>
      <c r="M9" s="141"/>
      <c r="N9" s="141"/>
      <c r="O9" s="141"/>
      <c r="P9" s="141"/>
      <c r="Q9" s="141"/>
      <c r="R9" s="141"/>
      <c r="S9" s="141"/>
      <c r="T9" s="141"/>
      <c r="U9" s="141"/>
      <c r="V9" s="141"/>
      <c r="W9" s="146"/>
    </row>
    <row r="10" spans="1:23">
      <c r="B10" s="145" t="s">
        <v>102</v>
      </c>
      <c r="C10" s="144">
        <v>2005</v>
      </c>
      <c r="D10" s="144">
        <v>2006</v>
      </c>
      <c r="E10" s="144">
        <v>2007</v>
      </c>
      <c r="F10" s="144">
        <v>2008</v>
      </c>
      <c r="G10" s="144">
        <v>2009</v>
      </c>
      <c r="H10" s="144">
        <v>2010</v>
      </c>
      <c r="I10" s="144">
        <v>2011</v>
      </c>
      <c r="J10" s="144">
        <v>2012</v>
      </c>
      <c r="K10" s="144">
        <v>2013</v>
      </c>
      <c r="L10" s="144">
        <v>2014</v>
      </c>
      <c r="M10" s="144">
        <v>2015</v>
      </c>
      <c r="N10" s="143">
        <v>2016</v>
      </c>
      <c r="O10" s="143">
        <v>2017</v>
      </c>
      <c r="P10" s="143">
        <v>2018</v>
      </c>
      <c r="Q10" s="143">
        <v>2019</v>
      </c>
      <c r="R10" s="143">
        <v>2020</v>
      </c>
      <c r="S10" s="143">
        <v>2021</v>
      </c>
      <c r="T10" s="143">
        <v>2022</v>
      </c>
      <c r="U10" s="143">
        <v>2023</v>
      </c>
      <c r="V10" s="143">
        <v>2024</v>
      </c>
      <c r="W10" s="142">
        <v>2025</v>
      </c>
    </row>
    <row r="11" spans="1:23">
      <c r="B11" s="127"/>
      <c r="C11" s="141"/>
      <c r="D11" s="141"/>
      <c r="E11" s="141"/>
      <c r="F11" s="141"/>
      <c r="G11" s="141"/>
      <c r="H11" s="141"/>
      <c r="I11" s="141"/>
      <c r="J11" s="141"/>
      <c r="K11" s="141"/>
      <c r="L11" s="141"/>
      <c r="M11" s="141"/>
      <c r="N11" s="140"/>
      <c r="O11" s="140"/>
      <c r="P11" s="140"/>
      <c r="Q11" s="140"/>
      <c r="R11" s="140"/>
      <c r="S11" s="140"/>
      <c r="T11" s="140"/>
      <c r="U11" s="140"/>
      <c r="V11" s="140"/>
      <c r="W11" s="139"/>
    </row>
    <row r="12" spans="1:23">
      <c r="B12" s="127" t="s">
        <v>210</v>
      </c>
      <c r="C12" s="126">
        <v>23526</v>
      </c>
      <c r="D12" s="126">
        <f t="shared" ref="D12:W12" si="0">C15</f>
        <v>24647</v>
      </c>
      <c r="E12" s="126">
        <f t="shared" si="0"/>
        <v>26104</v>
      </c>
      <c r="F12" s="126">
        <f t="shared" si="0"/>
        <v>27496</v>
      </c>
      <c r="G12" s="126">
        <f t="shared" si="0"/>
        <v>29148</v>
      </c>
      <c r="H12" s="126">
        <f t="shared" si="0"/>
        <v>30943</v>
      </c>
      <c r="I12" s="126">
        <f t="shared" si="0"/>
        <v>31622</v>
      </c>
      <c r="J12" s="126">
        <f t="shared" si="0"/>
        <v>33042</v>
      </c>
      <c r="K12" s="126">
        <f t="shared" si="0"/>
        <v>35030</v>
      </c>
      <c r="L12" s="126">
        <f t="shared" si="0"/>
        <v>36612</v>
      </c>
      <c r="M12" s="126">
        <f t="shared" si="0"/>
        <v>37937</v>
      </c>
      <c r="N12" s="125">
        <f t="shared" si="0"/>
        <v>39055</v>
      </c>
      <c r="O12" s="125">
        <f t="shared" si="0"/>
        <v>40389</v>
      </c>
      <c r="P12" s="125">
        <f t="shared" si="0"/>
        <v>41965</v>
      </c>
      <c r="Q12" s="125">
        <f t="shared" si="0"/>
        <v>43602</v>
      </c>
      <c r="R12" s="125">
        <f t="shared" si="0"/>
        <v>45297</v>
      </c>
      <c r="S12" s="125">
        <f t="shared" si="0"/>
        <v>46997</v>
      </c>
      <c r="T12" s="125">
        <f t="shared" si="0"/>
        <v>48689</v>
      </c>
      <c r="U12" s="125">
        <f t="shared" si="0"/>
        <v>50374</v>
      </c>
      <c r="V12" s="125">
        <f t="shared" si="0"/>
        <v>52077</v>
      </c>
      <c r="W12" s="124">
        <f t="shared" si="0"/>
        <v>53799</v>
      </c>
    </row>
    <row r="13" spans="1:23">
      <c r="B13" s="127" t="s">
        <v>209</v>
      </c>
      <c r="C13" s="126">
        <v>480</v>
      </c>
      <c r="D13" s="126">
        <v>601</v>
      </c>
      <c r="E13" s="126">
        <v>532</v>
      </c>
      <c r="F13" s="126">
        <v>844</v>
      </c>
      <c r="G13" s="126">
        <v>651</v>
      </c>
      <c r="H13" s="126">
        <v>679</v>
      </c>
      <c r="I13" s="126">
        <v>887</v>
      </c>
      <c r="J13" s="126">
        <v>915</v>
      </c>
      <c r="K13" s="126">
        <v>840</v>
      </c>
      <c r="L13" s="126">
        <v>779</v>
      </c>
      <c r="M13" s="126">
        <v>495</v>
      </c>
      <c r="N13" s="125">
        <v>445</v>
      </c>
      <c r="O13" s="125">
        <v>653</v>
      </c>
      <c r="P13" s="125">
        <v>677</v>
      </c>
      <c r="Q13" s="125">
        <v>698</v>
      </c>
      <c r="R13" s="125">
        <v>666</v>
      </c>
      <c r="S13" s="125">
        <v>621</v>
      </c>
      <c r="T13" s="125">
        <v>577</v>
      </c>
      <c r="U13" s="125">
        <v>557</v>
      </c>
      <c r="V13" s="125">
        <v>538</v>
      </c>
      <c r="W13" s="124">
        <v>488</v>
      </c>
    </row>
    <row r="14" spans="1:23">
      <c r="B14" s="127" t="s">
        <v>208</v>
      </c>
      <c r="C14" s="138">
        <v>641</v>
      </c>
      <c r="D14" s="138">
        <v>856</v>
      </c>
      <c r="E14" s="138">
        <v>860</v>
      </c>
      <c r="F14" s="138">
        <v>808</v>
      </c>
      <c r="G14" s="138">
        <v>1144</v>
      </c>
      <c r="H14" s="138">
        <v>0</v>
      </c>
      <c r="I14" s="138">
        <v>533</v>
      </c>
      <c r="J14" s="138">
        <v>1073</v>
      </c>
      <c r="K14" s="138">
        <v>742</v>
      </c>
      <c r="L14" s="138">
        <v>546</v>
      </c>
      <c r="M14" s="138">
        <v>623</v>
      </c>
      <c r="N14" s="137">
        <v>889</v>
      </c>
      <c r="O14" s="137">
        <v>923</v>
      </c>
      <c r="P14" s="137">
        <v>960</v>
      </c>
      <c r="Q14" s="137">
        <v>997</v>
      </c>
      <c r="R14" s="137">
        <v>1034</v>
      </c>
      <c r="S14" s="137">
        <v>1071</v>
      </c>
      <c r="T14" s="137">
        <v>1108</v>
      </c>
      <c r="U14" s="137">
        <v>1146</v>
      </c>
      <c r="V14" s="137">
        <v>1184</v>
      </c>
      <c r="W14" s="136">
        <v>1221</v>
      </c>
    </row>
    <row r="15" spans="1:23">
      <c r="B15" s="127" t="s">
        <v>207</v>
      </c>
      <c r="C15" s="126">
        <f t="shared" ref="C15:W15" si="1">SUM(C12:C14)</f>
        <v>24647</v>
      </c>
      <c r="D15" s="126">
        <f t="shared" si="1"/>
        <v>26104</v>
      </c>
      <c r="E15" s="126">
        <f t="shared" si="1"/>
        <v>27496</v>
      </c>
      <c r="F15" s="126">
        <f t="shared" si="1"/>
        <v>29148</v>
      </c>
      <c r="G15" s="126">
        <f t="shared" si="1"/>
        <v>30943</v>
      </c>
      <c r="H15" s="126">
        <f t="shared" si="1"/>
        <v>31622</v>
      </c>
      <c r="I15" s="126">
        <f t="shared" si="1"/>
        <v>33042</v>
      </c>
      <c r="J15" s="126">
        <f t="shared" si="1"/>
        <v>35030</v>
      </c>
      <c r="K15" s="126">
        <f t="shared" si="1"/>
        <v>36612</v>
      </c>
      <c r="L15" s="126">
        <f t="shared" si="1"/>
        <v>37937</v>
      </c>
      <c r="M15" s="126">
        <f t="shared" si="1"/>
        <v>39055</v>
      </c>
      <c r="N15" s="125">
        <f t="shared" si="1"/>
        <v>40389</v>
      </c>
      <c r="O15" s="125">
        <f t="shared" si="1"/>
        <v>41965</v>
      </c>
      <c r="P15" s="125">
        <f t="shared" si="1"/>
        <v>43602</v>
      </c>
      <c r="Q15" s="125">
        <f t="shared" si="1"/>
        <v>45297</v>
      </c>
      <c r="R15" s="125">
        <f t="shared" si="1"/>
        <v>46997</v>
      </c>
      <c r="S15" s="125">
        <f t="shared" si="1"/>
        <v>48689</v>
      </c>
      <c r="T15" s="125">
        <f t="shared" si="1"/>
        <v>50374</v>
      </c>
      <c r="U15" s="125">
        <f t="shared" si="1"/>
        <v>52077</v>
      </c>
      <c r="V15" s="125">
        <f t="shared" si="1"/>
        <v>53799</v>
      </c>
      <c r="W15" s="124">
        <f t="shared" si="1"/>
        <v>55508</v>
      </c>
    </row>
    <row r="16" spans="1:23">
      <c r="B16" s="127"/>
      <c r="C16" s="126"/>
      <c r="D16" s="126"/>
      <c r="E16" s="126"/>
      <c r="F16" s="126"/>
      <c r="G16" s="126"/>
      <c r="H16" s="126"/>
      <c r="I16" s="126"/>
      <c r="J16" s="126"/>
      <c r="K16" s="126"/>
      <c r="L16" s="126"/>
      <c r="M16" s="126"/>
      <c r="N16" s="125"/>
      <c r="O16" s="125"/>
      <c r="P16" s="125"/>
      <c r="Q16" s="125"/>
      <c r="R16" s="125"/>
      <c r="S16" s="125"/>
      <c r="T16" s="125"/>
      <c r="U16" s="125"/>
      <c r="V16" s="125"/>
      <c r="W16" s="124"/>
    </row>
    <row r="17" spans="2:23">
      <c r="B17" s="127" t="s">
        <v>206</v>
      </c>
      <c r="C17" s="126"/>
      <c r="D17" s="126"/>
      <c r="E17" s="126"/>
      <c r="F17" s="126"/>
      <c r="G17" s="126"/>
      <c r="H17" s="126"/>
      <c r="I17" s="126"/>
      <c r="J17" s="126"/>
      <c r="K17" s="126"/>
      <c r="L17" s="126"/>
      <c r="M17" s="126"/>
      <c r="N17" s="125"/>
      <c r="O17" s="125"/>
      <c r="P17" s="125"/>
      <c r="Q17" s="125"/>
      <c r="R17" s="125"/>
      <c r="S17" s="125"/>
      <c r="T17" s="125"/>
      <c r="U17" s="125"/>
      <c r="V17" s="125"/>
      <c r="W17" s="124"/>
    </row>
    <row r="18" spans="2:23">
      <c r="B18" s="127" t="s">
        <v>205</v>
      </c>
      <c r="C18" s="126">
        <v>859</v>
      </c>
      <c r="D18" s="126">
        <v>347</v>
      </c>
      <c r="E18" s="126">
        <v>1977</v>
      </c>
      <c r="F18" s="126">
        <v>-3886</v>
      </c>
      <c r="G18" s="126">
        <v>-3513</v>
      </c>
      <c r="H18" s="126">
        <v>1869</v>
      </c>
      <c r="I18" s="126">
        <v>4367</v>
      </c>
      <c r="J18" s="126">
        <v>-1568</v>
      </c>
      <c r="K18" s="126">
        <v>964</v>
      </c>
      <c r="L18" s="126">
        <v>2878</v>
      </c>
      <c r="M18" s="126">
        <v>286</v>
      </c>
      <c r="N18" s="125">
        <v>340</v>
      </c>
      <c r="O18" s="125">
        <v>370</v>
      </c>
      <c r="P18" s="125">
        <v>373</v>
      </c>
      <c r="Q18" s="125">
        <v>369</v>
      </c>
      <c r="R18" s="125">
        <v>381</v>
      </c>
      <c r="S18" s="125">
        <v>393</v>
      </c>
      <c r="T18" s="125">
        <v>405</v>
      </c>
      <c r="U18" s="125">
        <v>418</v>
      </c>
      <c r="V18" s="125">
        <v>431</v>
      </c>
      <c r="W18" s="124">
        <v>443</v>
      </c>
    </row>
    <row r="19" spans="2:23">
      <c r="B19" s="127" t="s">
        <v>195</v>
      </c>
      <c r="C19" s="126">
        <v>3874</v>
      </c>
      <c r="D19" s="126">
        <v>4221</v>
      </c>
      <c r="E19" s="126">
        <v>6198</v>
      </c>
      <c r="F19" s="126">
        <v>2064</v>
      </c>
      <c r="G19" s="126">
        <v>-1449</v>
      </c>
      <c r="H19" s="126">
        <v>421</v>
      </c>
      <c r="I19" s="126">
        <v>4788</v>
      </c>
      <c r="J19" s="126">
        <v>3220</v>
      </c>
      <c r="K19" s="126">
        <v>4184</v>
      </c>
      <c r="L19" s="126">
        <v>7062</v>
      </c>
      <c r="M19" s="126">
        <v>7347</v>
      </c>
      <c r="N19" s="125">
        <v>7687</v>
      </c>
      <c r="O19" s="125">
        <v>8057</v>
      </c>
      <c r="P19" s="125">
        <v>8430</v>
      </c>
      <c r="Q19" s="125">
        <v>8799</v>
      </c>
      <c r="R19" s="125">
        <v>9180</v>
      </c>
      <c r="S19" s="125">
        <v>9573</v>
      </c>
      <c r="T19" s="125">
        <v>9978</v>
      </c>
      <c r="U19" s="125">
        <v>10396</v>
      </c>
      <c r="V19" s="125">
        <v>10827</v>
      </c>
      <c r="W19" s="124">
        <v>11270</v>
      </c>
    </row>
    <row r="20" spans="2:23">
      <c r="B20" s="127" t="s">
        <v>204</v>
      </c>
      <c r="C20" s="135">
        <f t="shared" ref="C20:W20" si="2">C15+C19</f>
        <v>28521</v>
      </c>
      <c r="D20" s="135">
        <f t="shared" si="2"/>
        <v>30325</v>
      </c>
      <c r="E20" s="135">
        <f t="shared" si="2"/>
        <v>33694</v>
      </c>
      <c r="F20" s="135">
        <f t="shared" si="2"/>
        <v>31212</v>
      </c>
      <c r="G20" s="135">
        <f t="shared" si="2"/>
        <v>29494</v>
      </c>
      <c r="H20" s="135">
        <f t="shared" si="2"/>
        <v>32043</v>
      </c>
      <c r="I20" s="135">
        <f t="shared" si="2"/>
        <v>37830</v>
      </c>
      <c r="J20" s="135">
        <f t="shared" si="2"/>
        <v>38250</v>
      </c>
      <c r="K20" s="135">
        <f t="shared" si="2"/>
        <v>40796</v>
      </c>
      <c r="L20" s="135">
        <f t="shared" si="2"/>
        <v>44999</v>
      </c>
      <c r="M20" s="135">
        <f t="shared" si="2"/>
        <v>46402</v>
      </c>
      <c r="N20" s="134">
        <f t="shared" si="2"/>
        <v>48076</v>
      </c>
      <c r="O20" s="134">
        <f t="shared" si="2"/>
        <v>50022</v>
      </c>
      <c r="P20" s="134">
        <f t="shared" si="2"/>
        <v>52032</v>
      </c>
      <c r="Q20" s="134">
        <f t="shared" si="2"/>
        <v>54096</v>
      </c>
      <c r="R20" s="134">
        <f t="shared" si="2"/>
        <v>56177</v>
      </c>
      <c r="S20" s="134">
        <f t="shared" si="2"/>
        <v>58262</v>
      </c>
      <c r="T20" s="134">
        <f t="shared" si="2"/>
        <v>60352</v>
      </c>
      <c r="U20" s="134">
        <f t="shared" si="2"/>
        <v>62473</v>
      </c>
      <c r="V20" s="134">
        <f t="shared" si="2"/>
        <v>64626</v>
      </c>
      <c r="W20" s="133">
        <f t="shared" si="2"/>
        <v>66778</v>
      </c>
    </row>
    <row r="21" spans="2:23">
      <c r="B21" s="127"/>
      <c r="C21" s="126"/>
      <c r="D21" s="126"/>
      <c r="E21" s="126"/>
      <c r="F21" s="126"/>
      <c r="G21" s="126"/>
      <c r="H21" s="126"/>
      <c r="I21" s="126"/>
      <c r="J21" s="126"/>
      <c r="K21" s="126"/>
      <c r="L21" s="126"/>
      <c r="M21" s="126"/>
      <c r="N21" s="125"/>
      <c r="O21" s="125"/>
      <c r="P21" s="125"/>
      <c r="Q21" s="125"/>
      <c r="R21" s="125"/>
      <c r="S21" s="125"/>
      <c r="T21" s="125"/>
      <c r="U21" s="125"/>
      <c r="V21" s="125"/>
      <c r="W21" s="124"/>
    </row>
    <row r="22" spans="2:23">
      <c r="B22" s="127" t="s">
        <v>203</v>
      </c>
      <c r="C22" s="126">
        <v>2640</v>
      </c>
      <c r="D22" s="126">
        <v>3072</v>
      </c>
      <c r="E22" s="126">
        <v>5448</v>
      </c>
      <c r="F22" s="126">
        <v>-1372</v>
      </c>
      <c r="G22" s="126">
        <v>-6394</v>
      </c>
      <c r="H22" s="126">
        <v>3517</v>
      </c>
      <c r="I22" s="126">
        <v>6812</v>
      </c>
      <c r="J22" s="126">
        <v>-100</v>
      </c>
      <c r="K22" s="126">
        <v>4314</v>
      </c>
      <c r="L22" s="126">
        <v>6848</v>
      </c>
      <c r="M22" s="126">
        <v>3046</v>
      </c>
      <c r="N22" s="125">
        <v>3175</v>
      </c>
      <c r="O22" s="125">
        <v>3313</v>
      </c>
      <c r="P22" s="125">
        <v>3459</v>
      </c>
      <c r="Q22" s="125">
        <v>3614</v>
      </c>
      <c r="R22" s="125">
        <v>3781</v>
      </c>
      <c r="S22" s="125">
        <v>3952</v>
      </c>
      <c r="T22" s="125">
        <v>4126</v>
      </c>
      <c r="U22" s="125">
        <v>4305</v>
      </c>
      <c r="V22" s="125">
        <v>4488</v>
      </c>
      <c r="W22" s="124">
        <v>4675</v>
      </c>
    </row>
    <row r="23" spans="2:23">
      <c r="B23" s="127" t="s">
        <v>202</v>
      </c>
      <c r="C23" s="126">
        <v>1754</v>
      </c>
      <c r="D23" s="126">
        <v>2689</v>
      </c>
      <c r="E23" s="126">
        <v>3429</v>
      </c>
      <c r="F23" s="126">
        <v>2938</v>
      </c>
      <c r="G23" s="126">
        <v>-2509</v>
      </c>
      <c r="H23" s="126">
        <v>1590</v>
      </c>
      <c r="I23" s="126">
        <v>2143</v>
      </c>
      <c r="J23" s="126">
        <v>1568</v>
      </c>
      <c r="K23" s="126">
        <v>2928</v>
      </c>
      <c r="L23" s="126">
        <v>3531</v>
      </c>
      <c r="M23" s="126">
        <v>2607</v>
      </c>
      <c r="N23" s="125">
        <v>2718</v>
      </c>
      <c r="O23" s="125">
        <v>2838</v>
      </c>
      <c r="P23" s="125">
        <v>2963</v>
      </c>
      <c r="Q23" s="125">
        <v>3098</v>
      </c>
      <c r="R23" s="125">
        <v>3243</v>
      </c>
      <c r="S23" s="125">
        <v>3390</v>
      </c>
      <c r="T23" s="125">
        <v>3541</v>
      </c>
      <c r="U23" s="125">
        <v>3695</v>
      </c>
      <c r="V23" s="125">
        <v>3854</v>
      </c>
      <c r="W23" s="124">
        <v>4016</v>
      </c>
    </row>
    <row r="24" spans="2:23">
      <c r="B24" s="127" t="s">
        <v>201</v>
      </c>
      <c r="C24" s="126">
        <v>532</v>
      </c>
      <c r="D24" s="126">
        <v>689</v>
      </c>
      <c r="E24" s="126">
        <v>1022</v>
      </c>
      <c r="F24" s="126">
        <v>1293</v>
      </c>
      <c r="G24" s="126">
        <v>875</v>
      </c>
      <c r="H24" s="126">
        <v>858</v>
      </c>
      <c r="I24" s="126">
        <v>801</v>
      </c>
      <c r="J24" s="126">
        <v>605</v>
      </c>
      <c r="K24" s="126">
        <v>604</v>
      </c>
      <c r="L24" s="126">
        <v>1235</v>
      </c>
      <c r="M24" s="126">
        <v>1342</v>
      </c>
      <c r="N24" s="125">
        <v>1402</v>
      </c>
      <c r="O24" s="125">
        <v>1535</v>
      </c>
      <c r="P24" s="125">
        <v>1539</v>
      </c>
      <c r="Q24" s="125">
        <v>1494</v>
      </c>
      <c r="R24" s="125">
        <v>1560</v>
      </c>
      <c r="S24" s="125">
        <v>1631</v>
      </c>
      <c r="T24" s="125">
        <v>1705</v>
      </c>
      <c r="U24" s="125">
        <v>1782</v>
      </c>
      <c r="V24" s="125">
        <v>1861</v>
      </c>
      <c r="W24" s="124">
        <v>1942</v>
      </c>
    </row>
    <row r="25" spans="2:23">
      <c r="B25" s="127" t="s">
        <v>200</v>
      </c>
      <c r="C25" s="126">
        <v>641</v>
      </c>
      <c r="D25" s="126">
        <v>856</v>
      </c>
      <c r="E25" s="126">
        <v>860</v>
      </c>
      <c r="F25" s="126">
        <v>808</v>
      </c>
      <c r="G25" s="126">
        <v>1144</v>
      </c>
      <c r="H25" s="126">
        <v>0</v>
      </c>
      <c r="I25" s="126">
        <v>533</v>
      </c>
      <c r="J25" s="126">
        <v>1073</v>
      </c>
      <c r="K25" s="126">
        <v>742</v>
      </c>
      <c r="L25" s="126">
        <v>546</v>
      </c>
      <c r="M25" s="126">
        <v>623</v>
      </c>
      <c r="N25" s="125">
        <v>889</v>
      </c>
      <c r="O25" s="125">
        <v>923</v>
      </c>
      <c r="P25" s="125">
        <v>960</v>
      </c>
      <c r="Q25" s="125">
        <v>997</v>
      </c>
      <c r="R25" s="125">
        <v>1034</v>
      </c>
      <c r="S25" s="125">
        <v>1071</v>
      </c>
      <c r="T25" s="125">
        <v>1108</v>
      </c>
      <c r="U25" s="125">
        <v>1146</v>
      </c>
      <c r="V25" s="125">
        <v>1184</v>
      </c>
      <c r="W25" s="124">
        <v>1221</v>
      </c>
    </row>
    <row r="26" spans="2:23">
      <c r="B26" s="127" t="s">
        <v>199</v>
      </c>
      <c r="C26" s="126">
        <v>27</v>
      </c>
      <c r="D26" s="126">
        <v>37</v>
      </c>
      <c r="E26" s="126">
        <v>42</v>
      </c>
      <c r="F26" s="126">
        <v>33</v>
      </c>
      <c r="G26" s="126">
        <v>0</v>
      </c>
      <c r="H26" s="126">
        <v>0</v>
      </c>
      <c r="I26" s="126">
        <v>13</v>
      </c>
      <c r="J26" s="126">
        <v>17</v>
      </c>
      <c r="K26" s="126">
        <v>30</v>
      </c>
      <c r="L26" s="126">
        <v>32</v>
      </c>
      <c r="M26" s="126">
        <v>23</v>
      </c>
      <c r="N26" s="125">
        <v>23</v>
      </c>
      <c r="O26" s="125">
        <v>23</v>
      </c>
      <c r="P26" s="125">
        <v>23</v>
      </c>
      <c r="Q26" s="125">
        <v>23</v>
      </c>
      <c r="R26" s="125">
        <v>23</v>
      </c>
      <c r="S26" s="125">
        <v>23</v>
      </c>
      <c r="T26" s="125">
        <v>23</v>
      </c>
      <c r="U26" s="125">
        <v>23</v>
      </c>
      <c r="V26" s="125">
        <v>23</v>
      </c>
      <c r="W26" s="124">
        <v>23</v>
      </c>
    </row>
    <row r="27" spans="2:23">
      <c r="B27" s="127" t="s">
        <v>198</v>
      </c>
      <c r="C27" s="126">
        <v>1440</v>
      </c>
      <c r="D27" s="126">
        <v>2585</v>
      </c>
      <c r="E27" s="126">
        <v>4132</v>
      </c>
      <c r="F27" s="126">
        <v>4969</v>
      </c>
      <c r="G27" s="126">
        <v>441</v>
      </c>
      <c r="H27" s="126">
        <v>1194</v>
      </c>
      <c r="I27" s="126">
        <v>2016</v>
      </c>
      <c r="J27" s="126">
        <v>1905</v>
      </c>
      <c r="K27" s="126">
        <v>3487</v>
      </c>
      <c r="L27" s="126">
        <v>5237</v>
      </c>
      <c r="M27" s="126">
        <v>5879</v>
      </c>
      <c r="N27" s="125">
        <v>6307</v>
      </c>
      <c r="O27" s="125">
        <v>6686</v>
      </c>
      <c r="P27" s="125">
        <v>7151</v>
      </c>
      <c r="Q27" s="125">
        <v>7758</v>
      </c>
      <c r="R27" s="125">
        <v>8406</v>
      </c>
      <c r="S27" s="125">
        <v>9095</v>
      </c>
      <c r="T27" s="125">
        <v>9822</v>
      </c>
      <c r="U27" s="125">
        <v>10590</v>
      </c>
      <c r="V27" s="125">
        <v>11399</v>
      </c>
      <c r="W27" s="124">
        <v>12251</v>
      </c>
    </row>
    <row r="28" spans="2:23">
      <c r="B28" s="127"/>
      <c r="C28" s="126"/>
      <c r="D28" s="126"/>
      <c r="E28" s="126"/>
      <c r="F28" s="126"/>
      <c r="G28" s="126"/>
      <c r="H28" s="126"/>
      <c r="I28" s="126"/>
      <c r="J28" s="126"/>
      <c r="K28" s="126"/>
      <c r="L28" s="126"/>
      <c r="M28" s="126"/>
      <c r="N28" s="125"/>
      <c r="O28" s="125"/>
      <c r="P28" s="125"/>
      <c r="Q28" s="125"/>
      <c r="R28" s="125"/>
      <c r="S28" s="125"/>
      <c r="T28" s="125"/>
      <c r="U28" s="125"/>
      <c r="V28" s="125"/>
      <c r="W28" s="124"/>
    </row>
    <row r="29" spans="2:23">
      <c r="B29" s="127" t="s">
        <v>197</v>
      </c>
      <c r="C29" s="126"/>
      <c r="D29" s="126"/>
      <c r="E29" s="126"/>
      <c r="F29" s="126"/>
      <c r="G29" s="126"/>
      <c r="H29" s="126"/>
      <c r="I29" s="126"/>
      <c r="J29" s="126"/>
      <c r="K29" s="126"/>
      <c r="L29" s="126"/>
      <c r="M29" s="126"/>
      <c r="N29" s="125"/>
      <c r="O29" s="125"/>
      <c r="P29" s="125"/>
      <c r="Q29" s="125"/>
      <c r="R29" s="125"/>
      <c r="S29" s="125"/>
      <c r="T29" s="125"/>
      <c r="U29" s="125"/>
      <c r="V29" s="125"/>
      <c r="W29" s="124"/>
    </row>
    <row r="30" spans="2:23">
      <c r="B30" s="127" t="s">
        <v>196</v>
      </c>
      <c r="C30" s="126">
        <v>0</v>
      </c>
      <c r="D30" s="126">
        <v>0</v>
      </c>
      <c r="E30" s="126">
        <v>0</v>
      </c>
      <c r="F30" s="126">
        <v>352</v>
      </c>
      <c r="G30" s="126">
        <v>-373</v>
      </c>
      <c r="H30" s="126">
        <v>37</v>
      </c>
      <c r="I30" s="126">
        <v>276</v>
      </c>
      <c r="J30" s="126">
        <v>-117</v>
      </c>
      <c r="K30" s="126">
        <v>392</v>
      </c>
      <c r="L30" s="126">
        <v>408</v>
      </c>
      <c r="M30" s="126">
        <v>131</v>
      </c>
      <c r="N30" s="125">
        <v>94</v>
      </c>
      <c r="O30" s="125">
        <v>83</v>
      </c>
      <c r="P30" s="125">
        <v>99</v>
      </c>
      <c r="Q30" s="125">
        <v>124</v>
      </c>
      <c r="R30" s="125">
        <v>135</v>
      </c>
      <c r="S30" s="125">
        <v>146</v>
      </c>
      <c r="T30" s="125">
        <v>157</v>
      </c>
      <c r="U30" s="125">
        <v>168</v>
      </c>
      <c r="V30" s="125">
        <v>180</v>
      </c>
      <c r="W30" s="124">
        <v>193</v>
      </c>
    </row>
    <row r="31" spans="2:23">
      <c r="B31" s="127" t="s">
        <v>195</v>
      </c>
      <c r="C31" s="126">
        <v>0</v>
      </c>
      <c r="D31" s="126">
        <v>0</v>
      </c>
      <c r="E31" s="126">
        <v>0</v>
      </c>
      <c r="F31" s="126">
        <v>352</v>
      </c>
      <c r="G31" s="126">
        <v>-21</v>
      </c>
      <c r="H31" s="126">
        <v>16</v>
      </c>
      <c r="I31" s="126">
        <v>292</v>
      </c>
      <c r="J31" s="126">
        <v>175</v>
      </c>
      <c r="K31" s="126">
        <v>567</v>
      </c>
      <c r="L31" s="126">
        <v>975</v>
      </c>
      <c r="M31" s="126">
        <v>1106</v>
      </c>
      <c r="N31" s="125">
        <v>1200</v>
      </c>
      <c r="O31" s="125">
        <v>1284</v>
      </c>
      <c r="P31" s="125">
        <v>1383</v>
      </c>
      <c r="Q31" s="125">
        <v>1507</v>
      </c>
      <c r="R31" s="125">
        <v>1642</v>
      </c>
      <c r="S31" s="125">
        <v>1788</v>
      </c>
      <c r="T31" s="125">
        <v>1946</v>
      </c>
      <c r="U31" s="125">
        <v>2114</v>
      </c>
      <c r="V31" s="125">
        <v>2294</v>
      </c>
      <c r="W31" s="124">
        <v>2487</v>
      </c>
    </row>
    <row r="32" spans="2:23">
      <c r="B32" s="127" t="s">
        <v>194</v>
      </c>
      <c r="C32" s="126">
        <v>581</v>
      </c>
      <c r="D32" s="126">
        <v>1145</v>
      </c>
      <c r="E32" s="126">
        <v>-1505</v>
      </c>
      <c r="F32" s="126">
        <v>1189</v>
      </c>
      <c r="G32" s="126">
        <v>-4901</v>
      </c>
      <c r="H32" s="126">
        <v>790</v>
      </c>
      <c r="I32" s="126">
        <v>1098</v>
      </c>
      <c r="J32" s="126">
        <v>-227</v>
      </c>
      <c r="K32" s="126">
        <v>1974</v>
      </c>
      <c r="L32" s="126">
        <v>2158</v>
      </c>
      <c r="M32" s="126">
        <v>774</v>
      </c>
      <c r="N32" s="125">
        <v>522</v>
      </c>
      <c r="O32" s="125">
        <v>463</v>
      </c>
      <c r="P32" s="125">
        <v>564</v>
      </c>
      <c r="Q32" s="125">
        <v>732</v>
      </c>
      <c r="R32" s="125">
        <v>783</v>
      </c>
      <c r="S32" s="125">
        <v>834</v>
      </c>
      <c r="T32" s="125">
        <v>885</v>
      </c>
      <c r="U32" s="125">
        <v>936</v>
      </c>
      <c r="V32" s="125">
        <v>989</v>
      </c>
      <c r="W32" s="124">
        <v>1046</v>
      </c>
    </row>
    <row r="33" spans="2:28" s="128" customFormat="1">
      <c r="B33" s="132" t="s">
        <v>193</v>
      </c>
      <c r="C33" s="131">
        <v>1440</v>
      </c>
      <c r="D33" s="131">
        <v>2585</v>
      </c>
      <c r="E33" s="131">
        <v>4132</v>
      </c>
      <c r="F33" s="131">
        <v>5321</v>
      </c>
      <c r="G33" s="131">
        <v>420</v>
      </c>
      <c r="H33" s="131">
        <v>1210</v>
      </c>
      <c r="I33" s="131">
        <v>2308</v>
      </c>
      <c r="J33" s="131">
        <v>2081</v>
      </c>
      <c r="K33" s="131">
        <v>4054</v>
      </c>
      <c r="L33" s="131">
        <v>6211</v>
      </c>
      <c r="M33" s="131">
        <v>6985</v>
      </c>
      <c r="N33" s="130">
        <v>7507</v>
      </c>
      <c r="O33" s="130">
        <v>7970</v>
      </c>
      <c r="P33" s="130">
        <v>8534</v>
      </c>
      <c r="Q33" s="130">
        <v>9265</v>
      </c>
      <c r="R33" s="130">
        <v>10049</v>
      </c>
      <c r="S33" s="130">
        <v>10883</v>
      </c>
      <c r="T33" s="130">
        <v>11768</v>
      </c>
      <c r="U33" s="130">
        <v>12704</v>
      </c>
      <c r="V33" s="130">
        <v>13693</v>
      </c>
      <c r="W33" s="129">
        <v>14739</v>
      </c>
    </row>
    <row r="34" spans="2:28">
      <c r="B34" s="127"/>
      <c r="C34" s="126"/>
      <c r="D34" s="126"/>
      <c r="E34" s="126"/>
      <c r="F34" s="126"/>
      <c r="G34" s="126"/>
      <c r="H34" s="126"/>
      <c r="I34" s="126"/>
      <c r="J34" s="126"/>
      <c r="K34" s="126"/>
      <c r="L34" s="126"/>
      <c r="M34" s="126"/>
      <c r="N34" s="125"/>
      <c r="O34" s="125"/>
      <c r="P34" s="125"/>
      <c r="Q34" s="125"/>
      <c r="R34" s="125"/>
      <c r="S34" s="125"/>
      <c r="T34" s="125"/>
      <c r="U34" s="125"/>
      <c r="V34" s="125"/>
      <c r="W34" s="124"/>
    </row>
    <row r="35" spans="2:28" s="29" customFormat="1" ht="15.75" thickBot="1">
      <c r="B35" s="123" t="s">
        <v>192</v>
      </c>
      <c r="C35" s="122">
        <f t="shared" ref="C35:W35" si="3">C20+C33</f>
        <v>29961</v>
      </c>
      <c r="D35" s="122">
        <f t="shared" si="3"/>
        <v>32910</v>
      </c>
      <c r="E35" s="122">
        <f t="shared" si="3"/>
        <v>37826</v>
      </c>
      <c r="F35" s="122">
        <f t="shared" si="3"/>
        <v>36533</v>
      </c>
      <c r="G35" s="122">
        <f t="shared" si="3"/>
        <v>29914</v>
      </c>
      <c r="H35" s="122">
        <f t="shared" si="3"/>
        <v>33253</v>
      </c>
      <c r="I35" s="122">
        <f t="shared" si="3"/>
        <v>40138</v>
      </c>
      <c r="J35" s="122">
        <f t="shared" si="3"/>
        <v>40331</v>
      </c>
      <c r="K35" s="122">
        <f t="shared" si="3"/>
        <v>44850</v>
      </c>
      <c r="L35" s="122">
        <f t="shared" si="3"/>
        <v>51210</v>
      </c>
      <c r="M35" s="122">
        <f t="shared" si="3"/>
        <v>53387</v>
      </c>
      <c r="N35" s="121">
        <f t="shared" si="3"/>
        <v>55583</v>
      </c>
      <c r="O35" s="121">
        <f t="shared" si="3"/>
        <v>57992</v>
      </c>
      <c r="P35" s="121">
        <f t="shared" si="3"/>
        <v>60566</v>
      </c>
      <c r="Q35" s="121">
        <f t="shared" si="3"/>
        <v>63361</v>
      </c>
      <c r="R35" s="121">
        <f t="shared" si="3"/>
        <v>66226</v>
      </c>
      <c r="S35" s="121">
        <f t="shared" si="3"/>
        <v>69145</v>
      </c>
      <c r="T35" s="121">
        <f t="shared" si="3"/>
        <v>72120</v>
      </c>
      <c r="U35" s="121">
        <f t="shared" si="3"/>
        <v>75177</v>
      </c>
      <c r="V35" s="121">
        <f t="shared" si="3"/>
        <v>78319</v>
      </c>
      <c r="W35" s="120">
        <f t="shared" si="3"/>
        <v>81517</v>
      </c>
    </row>
    <row r="37" spans="2:28">
      <c r="C37" s="112"/>
      <c r="D37" s="112"/>
      <c r="E37" s="112"/>
      <c r="F37" s="112"/>
      <c r="G37" s="112"/>
      <c r="H37" s="112"/>
      <c r="I37" s="112"/>
      <c r="J37" s="112"/>
      <c r="K37" s="112" t="s">
        <v>191</v>
      </c>
      <c r="L37" s="112"/>
      <c r="M37" s="119">
        <v>6.1499999999999999E-2</v>
      </c>
      <c r="N37" s="112"/>
      <c r="O37" s="112"/>
      <c r="P37" s="112"/>
      <c r="Q37" s="112"/>
      <c r="R37" s="112"/>
      <c r="S37" s="112"/>
      <c r="T37" s="112"/>
      <c r="U37" s="112"/>
      <c r="V37" s="112"/>
      <c r="W37" s="112"/>
    </row>
    <row r="38" spans="2:28">
      <c r="C38" s="112"/>
      <c r="D38" s="112"/>
      <c r="E38" s="112"/>
      <c r="F38" s="112"/>
      <c r="G38" s="112"/>
      <c r="H38" s="112"/>
      <c r="I38" s="112"/>
      <c r="J38" s="112"/>
      <c r="K38" s="112"/>
      <c r="L38" s="112"/>
      <c r="M38" s="119"/>
      <c r="N38" s="112"/>
      <c r="O38" s="112"/>
      <c r="P38" s="112"/>
      <c r="Q38" s="112"/>
      <c r="R38" s="112"/>
      <c r="S38" s="112"/>
      <c r="T38" s="112"/>
      <c r="U38" s="112"/>
      <c r="V38" s="112"/>
      <c r="W38" s="112"/>
    </row>
    <row r="39" spans="2:28">
      <c r="C39" s="112"/>
      <c r="D39" s="112"/>
      <c r="E39" s="112"/>
      <c r="F39" s="112"/>
      <c r="G39" s="29"/>
      <c r="H39" s="29"/>
      <c r="I39" s="29"/>
      <c r="J39" s="29"/>
      <c r="K39" s="29"/>
      <c r="L39" s="29"/>
      <c r="M39" s="29"/>
      <c r="N39" s="116">
        <v>2016</v>
      </c>
      <c r="O39" s="116">
        <v>2017</v>
      </c>
      <c r="P39" s="116">
        <v>2018</v>
      </c>
      <c r="Q39" s="116">
        <v>2019</v>
      </c>
      <c r="R39" s="116">
        <v>2020</v>
      </c>
      <c r="S39" s="116">
        <v>2021</v>
      </c>
      <c r="T39" s="116">
        <v>2022</v>
      </c>
      <c r="U39" s="116">
        <v>2023</v>
      </c>
      <c r="V39" s="116">
        <v>2024</v>
      </c>
      <c r="W39" s="116">
        <v>2025</v>
      </c>
      <c r="X39" s="116">
        <v>2026</v>
      </c>
      <c r="Y39" s="116">
        <v>2027</v>
      </c>
      <c r="Z39" s="116">
        <v>2028</v>
      </c>
      <c r="AA39" s="116">
        <v>2029</v>
      </c>
      <c r="AB39" s="116">
        <v>2030</v>
      </c>
    </row>
    <row r="40" spans="2:28">
      <c r="C40" s="112"/>
      <c r="D40" s="112"/>
      <c r="E40" s="112"/>
      <c r="F40" s="112"/>
      <c r="G40" s="112"/>
      <c r="H40" s="112"/>
      <c r="I40" s="112"/>
      <c r="J40" s="112"/>
      <c r="K40" s="112"/>
      <c r="L40" s="112" t="s">
        <v>190</v>
      </c>
      <c r="M40" s="112"/>
      <c r="N40" s="112">
        <f>M35</f>
        <v>53387</v>
      </c>
      <c r="O40" s="112">
        <f t="shared" ref="O40:AB40" si="4">N45</f>
        <v>54371.140499999994</v>
      </c>
      <c r="P40" s="112">
        <f t="shared" si="4"/>
        <v>55273.474235749993</v>
      </c>
      <c r="Q40" s="112">
        <f t="shared" si="4"/>
        <v>56081.87675389112</v>
      </c>
      <c r="R40" s="112">
        <f>Q45</f>
        <v>56827.677259359014</v>
      </c>
      <c r="S40" s="112">
        <f t="shared" si="4"/>
        <v>57563.167723319595</v>
      </c>
      <c r="T40" s="112">
        <f t="shared" si="4"/>
        <v>58302.129173580557</v>
      </c>
      <c r="U40" s="112">
        <f t="shared" si="4"/>
        <v>59047.226866296762</v>
      </c>
      <c r="V40" s="112">
        <f t="shared" si="4"/>
        <v>59800.410540809542</v>
      </c>
      <c r="W40" s="112">
        <f t="shared" si="4"/>
        <v>60562.729673435679</v>
      </c>
      <c r="X40" s="112">
        <f t="shared" si="4"/>
        <v>61334.580908577547</v>
      </c>
      <c r="Y40" s="112">
        <f t="shared" si="4"/>
        <v>62116.186862828064</v>
      </c>
      <c r="Z40" s="112">
        <f t="shared" si="4"/>
        <v>62907.721006372507</v>
      </c>
      <c r="AA40" s="112">
        <f t="shared" si="4"/>
        <v>63709.32955834418</v>
      </c>
      <c r="AB40" s="112">
        <f t="shared" si="4"/>
        <v>64521.147846086773</v>
      </c>
    </row>
    <row r="41" spans="2:28">
      <c r="C41" s="112"/>
      <c r="D41" s="112"/>
      <c r="E41" s="112"/>
      <c r="F41" s="112"/>
      <c r="G41" s="112"/>
      <c r="H41" s="112"/>
      <c r="I41" s="112"/>
      <c r="J41" s="112"/>
      <c r="K41" s="112"/>
      <c r="L41" s="112" t="s">
        <v>189</v>
      </c>
      <c r="M41" s="112"/>
      <c r="N41" s="112">
        <f t="shared" ref="N41:AB41" si="5">N40*$M$37</f>
        <v>3283.3004999999998</v>
      </c>
      <c r="O41" s="112">
        <f t="shared" si="5"/>
        <v>3343.8251407499997</v>
      </c>
      <c r="P41" s="112">
        <f t="shared" si="5"/>
        <v>3399.3186654986243</v>
      </c>
      <c r="Q41" s="112">
        <f t="shared" si="5"/>
        <v>3449.0354203643037</v>
      </c>
      <c r="R41" s="112">
        <f t="shared" si="5"/>
        <v>3494.9021514505794</v>
      </c>
      <c r="S41" s="112">
        <f t="shared" si="5"/>
        <v>3540.1348149841551</v>
      </c>
      <c r="T41" s="112">
        <f t="shared" si="5"/>
        <v>3585.5809441752044</v>
      </c>
      <c r="U41" s="112">
        <f t="shared" si="5"/>
        <v>3631.4044522772506</v>
      </c>
      <c r="V41" s="112">
        <f t="shared" si="5"/>
        <v>3677.7252482597869</v>
      </c>
      <c r="W41" s="112">
        <f t="shared" si="5"/>
        <v>3724.6078749162943</v>
      </c>
      <c r="X41" s="112">
        <f t="shared" si="5"/>
        <v>3772.076725877519</v>
      </c>
      <c r="Y41" s="112">
        <f t="shared" si="5"/>
        <v>3820.1454920639258</v>
      </c>
      <c r="Z41" s="112">
        <f t="shared" si="5"/>
        <v>3868.8248418919093</v>
      </c>
      <c r="AA41" s="112">
        <f t="shared" si="5"/>
        <v>3918.1237678381672</v>
      </c>
      <c r="AB41" s="112">
        <f t="shared" si="5"/>
        <v>3968.0505925343364</v>
      </c>
    </row>
    <row r="42" spans="2:28">
      <c r="C42" s="112"/>
      <c r="D42" s="112"/>
      <c r="E42" s="112"/>
      <c r="F42" s="112"/>
      <c r="G42" s="112"/>
      <c r="H42" s="112"/>
      <c r="I42" s="112"/>
      <c r="J42" s="112"/>
      <c r="K42" s="112"/>
      <c r="L42" s="112" t="s">
        <v>853</v>
      </c>
      <c r="M42" s="112"/>
      <c r="N42" s="112">
        <f>SUM(I35:M35)/5</f>
        <v>45983.199999999997</v>
      </c>
      <c r="O42" s="112">
        <f>(+N45+M35+L35+K35+J35)/5</f>
        <v>48829.828099999999</v>
      </c>
      <c r="P42" s="112">
        <f>(+O45+N45+M35+L35+K35)/5</f>
        <v>51818.322947149994</v>
      </c>
      <c r="Q42" s="112">
        <f>(+P45+O45+N45+M35+L35)/5</f>
        <v>54064.698297928226</v>
      </c>
      <c r="R42" s="112">
        <f>(+Q45+P45+O45+N45+M35)/5</f>
        <v>55188.233749800027</v>
      </c>
      <c r="S42" s="112">
        <f t="shared" ref="S42:AB42" si="6">(+R45+Q45+P45+O45+N45)/5</f>
        <v>56023.467294463931</v>
      </c>
      <c r="T42" s="112">
        <f t="shared" si="6"/>
        <v>56809.665029180047</v>
      </c>
      <c r="U42" s="112">
        <f t="shared" si="6"/>
        <v>57564.415555289408</v>
      </c>
      <c r="V42" s="112">
        <f t="shared" si="6"/>
        <v>58308.122312673091</v>
      </c>
      <c r="W42" s="112">
        <f t="shared" si="6"/>
        <v>59055.132795488425</v>
      </c>
      <c r="X42" s="112">
        <f t="shared" si="6"/>
        <v>59809.415432540016</v>
      </c>
      <c r="Y42" s="112">
        <f t="shared" si="6"/>
        <v>60572.226970389522</v>
      </c>
      <c r="Z42" s="112">
        <f t="shared" si="6"/>
        <v>61344.325798404672</v>
      </c>
      <c r="AA42" s="112">
        <f t="shared" si="6"/>
        <v>62126.109601911601</v>
      </c>
      <c r="AB42" s="112">
        <f t="shared" si="6"/>
        <v>62917.793236441816</v>
      </c>
    </row>
    <row r="43" spans="2:28">
      <c r="C43" s="112"/>
      <c r="D43" s="112"/>
      <c r="E43" s="112"/>
      <c r="F43" s="112"/>
      <c r="G43" s="112"/>
      <c r="H43" s="112"/>
      <c r="I43" s="112"/>
      <c r="J43" s="112"/>
      <c r="K43" s="112"/>
      <c r="L43" s="118" t="s">
        <v>854</v>
      </c>
      <c r="M43" s="112"/>
      <c r="N43" s="112">
        <f>N42*0.05</f>
        <v>2299.16</v>
      </c>
      <c r="O43" s="112">
        <f t="shared" ref="O43:AB43" si="7">O42*0.05</f>
        <v>2441.4914050000002</v>
      </c>
      <c r="P43" s="112">
        <f t="shared" si="7"/>
        <v>2590.9161473575</v>
      </c>
      <c r="Q43" s="112">
        <f>Q42*0.05</f>
        <v>2703.2349148964113</v>
      </c>
      <c r="R43" s="112">
        <f t="shared" si="7"/>
        <v>2759.4116874900014</v>
      </c>
      <c r="S43" s="112">
        <f t="shared" si="7"/>
        <v>2801.1733647231968</v>
      </c>
      <c r="T43" s="112">
        <f t="shared" si="7"/>
        <v>2840.4832514590025</v>
      </c>
      <c r="U43" s="112">
        <f t="shared" si="7"/>
        <v>2878.2207777644708</v>
      </c>
      <c r="V43" s="112">
        <f t="shared" si="7"/>
        <v>2915.4061156336547</v>
      </c>
      <c r="W43" s="112">
        <f t="shared" si="7"/>
        <v>2952.7566397744213</v>
      </c>
      <c r="X43" s="112">
        <f t="shared" si="7"/>
        <v>2990.4707716270009</v>
      </c>
      <c r="Y43" s="112">
        <f t="shared" si="7"/>
        <v>3028.6113485194765</v>
      </c>
      <c r="Z43" s="112">
        <f t="shared" si="7"/>
        <v>3067.216289920234</v>
      </c>
      <c r="AA43" s="112">
        <f t="shared" si="7"/>
        <v>3106.3054800955802</v>
      </c>
      <c r="AB43" s="112">
        <f t="shared" si="7"/>
        <v>3145.8896618220911</v>
      </c>
    </row>
    <row r="44" spans="2:28">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row>
    <row r="45" spans="2:28" ht="15.75" thickBot="1">
      <c r="C45" s="112"/>
      <c r="D45" s="112"/>
      <c r="E45" s="112"/>
      <c r="F45" s="112"/>
      <c r="G45" s="112"/>
      <c r="H45" s="112"/>
      <c r="I45" s="112"/>
      <c r="J45" s="112"/>
      <c r="K45" s="112"/>
      <c r="L45" s="112" t="s">
        <v>188</v>
      </c>
      <c r="M45" s="112"/>
      <c r="N45" s="117">
        <f>+N40+N41-N43-N44</f>
        <v>54371.140499999994</v>
      </c>
      <c r="O45" s="117">
        <f t="shared" ref="O45:AB45" si="8">+O40+O41-O43-O44</f>
        <v>55273.474235749993</v>
      </c>
      <c r="P45" s="117">
        <f t="shared" si="8"/>
        <v>56081.87675389112</v>
      </c>
      <c r="Q45" s="117">
        <f>+Q40+Q41-Q43-Q44</f>
        <v>56827.677259359014</v>
      </c>
      <c r="R45" s="117">
        <f t="shared" si="8"/>
        <v>57563.167723319595</v>
      </c>
      <c r="S45" s="117">
        <f t="shared" si="8"/>
        <v>58302.129173580557</v>
      </c>
      <c r="T45" s="117">
        <f t="shared" si="8"/>
        <v>59047.226866296762</v>
      </c>
      <c r="U45" s="117">
        <f t="shared" si="8"/>
        <v>59800.410540809542</v>
      </c>
      <c r="V45" s="117">
        <f t="shared" si="8"/>
        <v>60562.729673435679</v>
      </c>
      <c r="W45" s="117">
        <f t="shared" si="8"/>
        <v>61334.580908577547</v>
      </c>
      <c r="X45" s="117">
        <f t="shared" si="8"/>
        <v>62116.186862828064</v>
      </c>
      <c r="Y45" s="117">
        <f t="shared" si="8"/>
        <v>62907.721006372507</v>
      </c>
      <c r="Z45" s="117">
        <f t="shared" si="8"/>
        <v>63709.32955834418</v>
      </c>
      <c r="AA45" s="117">
        <f t="shared" si="8"/>
        <v>64521.147846086773</v>
      </c>
      <c r="AB45" s="117">
        <f t="shared" si="8"/>
        <v>65343.308776799022</v>
      </c>
    </row>
    <row r="46" spans="2:28" ht="15.75" thickTop="1">
      <c r="C46" s="112"/>
      <c r="D46" s="112"/>
      <c r="E46" s="112"/>
      <c r="F46" s="112"/>
      <c r="G46" s="112"/>
      <c r="H46" s="112"/>
      <c r="I46" s="112"/>
      <c r="J46" s="112"/>
      <c r="K46" s="112"/>
      <c r="L46" s="112"/>
      <c r="M46" s="112"/>
      <c r="N46" s="112"/>
      <c r="O46" s="112"/>
      <c r="P46" s="112"/>
      <c r="Q46" s="112"/>
      <c r="R46" s="112"/>
      <c r="S46" s="112"/>
      <c r="T46" s="112"/>
      <c r="U46" s="112"/>
      <c r="V46" s="112"/>
      <c r="W46" s="112"/>
    </row>
    <row r="47" spans="2:28">
      <c r="C47" s="112"/>
      <c r="D47" s="112"/>
      <c r="E47" s="112"/>
      <c r="F47" s="112"/>
      <c r="G47" s="112"/>
      <c r="H47" s="112"/>
      <c r="I47" s="112"/>
      <c r="J47" s="112"/>
      <c r="K47" s="112"/>
      <c r="L47" s="112"/>
      <c r="M47" s="112"/>
      <c r="N47" s="112"/>
      <c r="O47" s="112"/>
      <c r="P47" s="112"/>
      <c r="Q47" s="112"/>
      <c r="R47" s="112"/>
      <c r="S47" s="112"/>
      <c r="T47" s="112"/>
      <c r="U47" s="112"/>
      <c r="V47" s="112"/>
      <c r="W47" s="112"/>
    </row>
    <row r="48" spans="2:28">
      <c r="C48" s="112"/>
      <c r="D48" s="112"/>
      <c r="E48" s="112"/>
      <c r="F48" s="112"/>
      <c r="G48" s="112"/>
      <c r="H48" s="112"/>
      <c r="I48" s="112"/>
      <c r="J48" s="112"/>
      <c r="K48" s="112"/>
      <c r="L48" s="112"/>
      <c r="M48" s="112"/>
      <c r="N48" s="116">
        <v>2016</v>
      </c>
      <c r="O48" s="116">
        <v>2017</v>
      </c>
      <c r="P48" s="116">
        <v>2018</v>
      </c>
      <c r="Q48" s="116">
        <v>2019</v>
      </c>
      <c r="R48" s="116">
        <v>2020</v>
      </c>
      <c r="S48" s="116">
        <v>2021</v>
      </c>
      <c r="T48" s="116">
        <v>2022</v>
      </c>
      <c r="U48" s="116">
        <v>2023</v>
      </c>
      <c r="V48" s="116">
        <v>2024</v>
      </c>
      <c r="W48" s="116">
        <v>2025</v>
      </c>
      <c r="X48" s="116">
        <v>2026</v>
      </c>
      <c r="Y48" s="116">
        <v>2027</v>
      </c>
      <c r="Z48" s="116">
        <v>2028</v>
      </c>
      <c r="AA48" s="116">
        <v>2029</v>
      </c>
      <c r="AB48" s="116">
        <v>2030</v>
      </c>
    </row>
    <row r="49" spans="3:28">
      <c r="C49" s="112"/>
      <c r="D49" s="112"/>
      <c r="E49" s="112"/>
      <c r="F49" s="112"/>
      <c r="G49" s="112"/>
      <c r="H49" s="112"/>
      <c r="I49" s="112"/>
      <c r="J49" s="112"/>
      <c r="K49" s="112"/>
      <c r="L49" s="112" t="s">
        <v>190</v>
      </c>
      <c r="M49" s="112"/>
      <c r="N49" s="112">
        <f>M35</f>
        <v>53387</v>
      </c>
      <c r="O49" s="112">
        <f t="shared" ref="O49:AB49" si="9">N54</f>
        <v>54830.972499999996</v>
      </c>
      <c r="P49" s="112">
        <f t="shared" si="9"/>
        <v>56246.205528749997</v>
      </c>
      <c r="Q49" s="112">
        <f t="shared" si="9"/>
        <v>57621.153744538125</v>
      </c>
      <c r="R49" s="112">
        <f t="shared" si="9"/>
        <v>58978.492045640916</v>
      </c>
      <c r="S49" s="112">
        <f t="shared" si="9"/>
        <v>60357.158715896396</v>
      </c>
      <c r="T49" s="112">
        <f t="shared" si="9"/>
        <v>61764.852116645423</v>
      </c>
      <c r="U49" s="112">
        <f t="shared" si="9"/>
        <v>63203.647624607358</v>
      </c>
      <c r="V49" s="112">
        <f t="shared" si="9"/>
        <v>64675.269519542082</v>
      </c>
      <c r="W49" s="112">
        <f t="shared" si="9"/>
        <v>66180.963234815266</v>
      </c>
      <c r="X49" s="112">
        <f t="shared" si="9"/>
        <v>67721.637344064351</v>
      </c>
      <c r="Y49" s="112">
        <f t="shared" si="9"/>
        <v>69298.147082006908</v>
      </c>
      <c r="Z49" s="112">
        <f t="shared" si="9"/>
        <v>70911.345809110047</v>
      </c>
      <c r="AA49" s="112">
        <f t="shared" si="9"/>
        <v>72562.094672454012</v>
      </c>
      <c r="AB49" s="112">
        <f t="shared" si="9"/>
        <v>74251.269989670327</v>
      </c>
    </row>
    <row r="50" spans="3:28">
      <c r="C50" s="112"/>
      <c r="D50" s="112"/>
      <c r="E50" s="112"/>
      <c r="F50" s="112"/>
      <c r="G50" s="112"/>
      <c r="H50" s="112"/>
      <c r="I50" s="112"/>
      <c r="J50" s="112"/>
      <c r="K50" s="112"/>
      <c r="L50" s="112" t="s">
        <v>189</v>
      </c>
      <c r="M50" s="112"/>
      <c r="N50" s="112">
        <f t="shared" ref="N50:AB50" si="10">N49*$M$37</f>
        <v>3283.3004999999998</v>
      </c>
      <c r="O50" s="112">
        <f t="shared" si="10"/>
        <v>3372.1048087499998</v>
      </c>
      <c r="P50" s="112">
        <f t="shared" si="10"/>
        <v>3459.1416400181247</v>
      </c>
      <c r="Q50" s="112">
        <f t="shared" si="10"/>
        <v>3543.7009552890945</v>
      </c>
      <c r="R50" s="112">
        <f t="shared" si="10"/>
        <v>3627.1772608069164</v>
      </c>
      <c r="S50" s="112">
        <f t="shared" si="10"/>
        <v>3711.9652610276285</v>
      </c>
      <c r="T50" s="112">
        <f t="shared" si="10"/>
        <v>3798.5384051736933</v>
      </c>
      <c r="U50" s="112">
        <f t="shared" si="10"/>
        <v>3887.0243289133523</v>
      </c>
      <c r="V50" s="112">
        <f t="shared" si="10"/>
        <v>3977.5290754518378</v>
      </c>
      <c r="W50" s="112">
        <f t="shared" si="10"/>
        <v>4070.1292389411387</v>
      </c>
      <c r="X50" s="112">
        <f t="shared" si="10"/>
        <v>4164.8806966599577</v>
      </c>
      <c r="Y50" s="112">
        <f t="shared" si="10"/>
        <v>4261.8360455434249</v>
      </c>
      <c r="Z50" s="112">
        <f t="shared" si="10"/>
        <v>4361.0477672602683</v>
      </c>
      <c r="AA50" s="112">
        <f t="shared" si="10"/>
        <v>4462.5688223559218</v>
      </c>
      <c r="AB50" s="112">
        <f t="shared" si="10"/>
        <v>4566.4531043647248</v>
      </c>
    </row>
    <row r="51" spans="3:28">
      <c r="C51" s="112"/>
      <c r="D51" s="112"/>
      <c r="E51" s="112"/>
      <c r="F51" s="112"/>
      <c r="G51" s="112"/>
      <c r="H51" s="112"/>
      <c r="I51" s="112"/>
      <c r="J51" s="112"/>
      <c r="K51" s="112"/>
      <c r="L51" s="112" t="s">
        <v>853</v>
      </c>
      <c r="M51" s="112"/>
      <c r="N51" s="112">
        <f>SUM(I35:M35)/5</f>
        <v>45983.199999999997</v>
      </c>
      <c r="O51" s="112">
        <f>(+N54+M35+L35+K35+J35)/5</f>
        <v>48921.794500000004</v>
      </c>
      <c r="P51" s="112">
        <f>(+O54+N54+M35+L35+K35)/5</f>
        <v>52104.835605749999</v>
      </c>
      <c r="Q51" s="112">
        <f>(+P54+O54+N54+M35+L35)/5</f>
        <v>54659.066354657618</v>
      </c>
      <c r="R51" s="112">
        <f>(+Q54+P54+O54+N54+M35)/5</f>
        <v>56212.764763785803</v>
      </c>
      <c r="S51" s="112">
        <f t="shared" ref="S51:AB51" si="11">(+R54+Q54+P54+O54+N54)/5</f>
        <v>57606.796506965089</v>
      </c>
      <c r="T51" s="112">
        <f t="shared" si="11"/>
        <v>58993.572430294167</v>
      </c>
      <c r="U51" s="112">
        <f t="shared" si="11"/>
        <v>60385.060849465641</v>
      </c>
      <c r="V51" s="112">
        <f t="shared" si="11"/>
        <v>61795.884004466432</v>
      </c>
      <c r="W51" s="112">
        <f t="shared" si="11"/>
        <v>63236.378242301311</v>
      </c>
      <c r="X51" s="112">
        <f t="shared" si="11"/>
        <v>64709.273967934903</v>
      </c>
      <c r="Y51" s="112">
        <f t="shared" si="11"/>
        <v>66215.932961007202</v>
      </c>
      <c r="Z51" s="112">
        <f t="shared" si="11"/>
        <v>67757.472597907734</v>
      </c>
      <c r="AA51" s="112">
        <f t="shared" si="11"/>
        <v>69334.837628490117</v>
      </c>
      <c r="AB51" s="112">
        <f t="shared" si="11"/>
        <v>70948.898979461141</v>
      </c>
    </row>
    <row r="52" spans="3:28">
      <c r="C52" s="112"/>
      <c r="D52" s="112"/>
      <c r="E52" s="112"/>
      <c r="F52" s="112"/>
      <c r="G52" s="112"/>
      <c r="H52" s="112"/>
      <c r="I52" s="112"/>
      <c r="J52" s="112"/>
      <c r="K52" s="112"/>
      <c r="L52" s="118" t="s">
        <v>855</v>
      </c>
      <c r="M52" s="112"/>
      <c r="N52" s="112">
        <f>N51*0.04</f>
        <v>1839.328</v>
      </c>
      <c r="O52" s="112">
        <f t="shared" ref="O52:AB52" si="12">O51*0.04</f>
        <v>1956.8717800000002</v>
      </c>
      <c r="P52" s="112">
        <f t="shared" si="12"/>
        <v>2084.1934242299999</v>
      </c>
      <c r="Q52" s="112">
        <f t="shared" si="12"/>
        <v>2186.3626541863046</v>
      </c>
      <c r="R52" s="112">
        <f t="shared" si="12"/>
        <v>2248.510590551432</v>
      </c>
      <c r="S52" s="112">
        <f t="shared" si="12"/>
        <v>2304.2718602786035</v>
      </c>
      <c r="T52" s="112">
        <f t="shared" si="12"/>
        <v>2359.7428972117668</v>
      </c>
      <c r="U52" s="112">
        <f t="shared" si="12"/>
        <v>2415.4024339786256</v>
      </c>
      <c r="V52" s="112">
        <f t="shared" si="12"/>
        <v>2471.8353601786575</v>
      </c>
      <c r="W52" s="112">
        <f t="shared" si="12"/>
        <v>2529.4551296920527</v>
      </c>
      <c r="X52" s="112">
        <f t="shared" si="12"/>
        <v>2588.3709587173962</v>
      </c>
      <c r="Y52" s="112">
        <f t="shared" si="12"/>
        <v>2648.6373184402883</v>
      </c>
      <c r="Z52" s="112">
        <f t="shared" si="12"/>
        <v>2710.2989039163094</v>
      </c>
      <c r="AA52" s="112">
        <f t="shared" si="12"/>
        <v>2773.3935051396047</v>
      </c>
      <c r="AB52" s="112">
        <f t="shared" si="12"/>
        <v>2837.9559591784455</v>
      </c>
    </row>
    <row r="53" spans="3:28">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row>
    <row r="54" spans="3:28" ht="15.75" thickBot="1">
      <c r="C54" s="112"/>
      <c r="D54" s="112"/>
      <c r="E54" s="112"/>
      <c r="F54" s="112"/>
      <c r="G54" s="112"/>
      <c r="H54" s="112"/>
      <c r="I54" s="112"/>
      <c r="J54" s="112"/>
      <c r="K54" s="112"/>
      <c r="L54" s="112" t="s">
        <v>188</v>
      </c>
      <c r="M54" s="112"/>
      <c r="N54" s="117">
        <f t="shared" ref="N54:AB54" si="13">+N49+N50-N52-N53</f>
        <v>54830.972499999996</v>
      </c>
      <c r="O54" s="117">
        <f t="shared" si="13"/>
        <v>56246.205528749997</v>
      </c>
      <c r="P54" s="117">
        <f t="shared" si="13"/>
        <v>57621.153744538125</v>
      </c>
      <c r="Q54" s="117">
        <f t="shared" si="13"/>
        <v>58978.492045640916</v>
      </c>
      <c r="R54" s="117">
        <f t="shared" si="13"/>
        <v>60357.158715896396</v>
      </c>
      <c r="S54" s="117">
        <f t="shared" si="13"/>
        <v>61764.852116645423</v>
      </c>
      <c r="T54" s="117">
        <f t="shared" si="13"/>
        <v>63203.647624607358</v>
      </c>
      <c r="U54" s="117">
        <f t="shared" si="13"/>
        <v>64675.269519542082</v>
      </c>
      <c r="V54" s="117">
        <f t="shared" si="13"/>
        <v>66180.963234815266</v>
      </c>
      <c r="W54" s="117">
        <f t="shared" si="13"/>
        <v>67721.637344064351</v>
      </c>
      <c r="X54" s="117">
        <f t="shared" si="13"/>
        <v>69298.147082006908</v>
      </c>
      <c r="Y54" s="117">
        <f t="shared" si="13"/>
        <v>70911.345809110047</v>
      </c>
      <c r="Z54" s="117">
        <f t="shared" si="13"/>
        <v>72562.094672454012</v>
      </c>
      <c r="AA54" s="117">
        <f t="shared" si="13"/>
        <v>74251.269989670327</v>
      </c>
      <c r="AB54" s="117">
        <f t="shared" si="13"/>
        <v>75979.767134856607</v>
      </c>
    </row>
    <row r="55" spans="3:28" ht="15.75" thickTop="1">
      <c r="C55" s="112"/>
      <c r="D55" s="112"/>
      <c r="E55" s="112"/>
      <c r="F55" s="112"/>
      <c r="G55" s="112"/>
      <c r="H55" s="112"/>
      <c r="I55" s="112"/>
      <c r="J55" s="112"/>
      <c r="K55" s="112"/>
      <c r="L55" s="112"/>
      <c r="M55" s="112"/>
      <c r="N55" s="112"/>
      <c r="O55" s="112"/>
      <c r="P55" s="112"/>
      <c r="Q55" s="112"/>
      <c r="R55" s="112"/>
      <c r="S55" s="112"/>
      <c r="T55" s="112"/>
      <c r="U55" s="112"/>
      <c r="V55" s="112"/>
      <c r="W55" s="112"/>
    </row>
    <row r="56" spans="3:28">
      <c r="C56" s="112"/>
      <c r="D56" s="112"/>
      <c r="E56" s="112"/>
      <c r="F56" s="112"/>
      <c r="G56" s="112"/>
      <c r="H56" s="112"/>
      <c r="I56" s="112"/>
      <c r="J56" s="112"/>
      <c r="K56" s="112"/>
      <c r="L56" s="112"/>
      <c r="M56" s="112"/>
      <c r="N56" s="112"/>
      <c r="O56" s="112"/>
      <c r="P56" s="112"/>
      <c r="Q56" s="112"/>
      <c r="R56" s="112"/>
      <c r="S56" s="112"/>
      <c r="T56" s="112"/>
      <c r="U56" s="112"/>
      <c r="V56" s="112"/>
      <c r="W56" s="112"/>
    </row>
    <row r="57" spans="3:28">
      <c r="N57">
        <f>N66</f>
        <v>2016</v>
      </c>
      <c r="O57">
        <f t="shared" ref="O57:AB57" si="14">O66</f>
        <v>2017</v>
      </c>
      <c r="P57">
        <f t="shared" si="14"/>
        <v>2018</v>
      </c>
      <c r="Q57">
        <f t="shared" si="14"/>
        <v>2019</v>
      </c>
      <c r="R57">
        <f t="shared" si="14"/>
        <v>2020</v>
      </c>
      <c r="S57">
        <f t="shared" si="14"/>
        <v>2021</v>
      </c>
      <c r="T57">
        <f t="shared" si="14"/>
        <v>2022</v>
      </c>
      <c r="U57">
        <f t="shared" si="14"/>
        <v>2023</v>
      </c>
      <c r="V57">
        <f t="shared" si="14"/>
        <v>2024</v>
      </c>
      <c r="W57">
        <f t="shared" si="14"/>
        <v>2025</v>
      </c>
      <c r="X57">
        <f t="shared" si="14"/>
        <v>2026</v>
      </c>
      <c r="Y57">
        <f t="shared" si="14"/>
        <v>2027</v>
      </c>
      <c r="Z57">
        <f t="shared" si="14"/>
        <v>2028</v>
      </c>
      <c r="AA57">
        <f t="shared" si="14"/>
        <v>2029</v>
      </c>
      <c r="AB57">
        <f t="shared" si="14"/>
        <v>2030</v>
      </c>
    </row>
    <row r="58" spans="3:28">
      <c r="M58" s="314" t="s">
        <v>190</v>
      </c>
      <c r="N58" s="112">
        <f>M35</f>
        <v>53387</v>
      </c>
      <c r="O58" s="112">
        <f>N63</f>
        <v>54830.972499999996</v>
      </c>
      <c r="P58" s="112">
        <f t="shared" ref="P58:AB58" si="15">O63</f>
        <v>56246.205528749997</v>
      </c>
      <c r="Q58" s="112">
        <f t="shared" si="15"/>
        <v>57621.153744538125</v>
      </c>
      <c r="R58" s="112">
        <f t="shared" si="15"/>
        <v>58978.492045640916</v>
      </c>
      <c r="S58" s="112">
        <f t="shared" si="15"/>
        <v>60357.158715896396</v>
      </c>
      <c r="T58" s="112">
        <f t="shared" si="15"/>
        <v>61764.852116645423</v>
      </c>
      <c r="U58" s="112">
        <f t="shared" si="15"/>
        <v>63203.647624607358</v>
      </c>
      <c r="V58" s="112">
        <f t="shared" si="15"/>
        <v>64675.269519542082</v>
      </c>
      <c r="W58" s="112">
        <f t="shared" si="15"/>
        <v>66180.963234815266</v>
      </c>
      <c r="X58" s="112">
        <f t="shared" si="15"/>
        <v>67721.637344064351</v>
      </c>
      <c r="Y58" s="112">
        <f t="shared" si="15"/>
        <v>69298.147082006908</v>
      </c>
      <c r="Z58" s="112">
        <f t="shared" si="15"/>
        <v>70911.345809110047</v>
      </c>
      <c r="AA58" s="112">
        <f t="shared" si="15"/>
        <v>72562.094672454012</v>
      </c>
      <c r="AB58" s="112">
        <f t="shared" si="15"/>
        <v>74251.269989670327</v>
      </c>
    </row>
    <row r="59" spans="3:28">
      <c r="K59" t="s">
        <v>53</v>
      </c>
      <c r="M59" s="314" t="s">
        <v>189</v>
      </c>
      <c r="N59" s="112">
        <f t="shared" ref="N59:AB59" si="16">N58*$M$37</f>
        <v>3283.3004999999998</v>
      </c>
      <c r="O59" s="112">
        <f t="shared" si="16"/>
        <v>3372.1048087499998</v>
      </c>
      <c r="P59" s="112">
        <f t="shared" si="16"/>
        <v>3459.1416400181247</v>
      </c>
      <c r="Q59" s="112">
        <f t="shared" si="16"/>
        <v>3543.7009552890945</v>
      </c>
      <c r="R59" s="112">
        <f t="shared" si="16"/>
        <v>3627.1772608069164</v>
      </c>
      <c r="S59" s="112">
        <f t="shared" si="16"/>
        <v>3711.9652610276285</v>
      </c>
      <c r="T59" s="112">
        <f t="shared" si="16"/>
        <v>3798.5384051736933</v>
      </c>
      <c r="U59" s="112">
        <f t="shared" si="16"/>
        <v>3887.0243289133523</v>
      </c>
      <c r="V59" s="112">
        <f t="shared" si="16"/>
        <v>3977.5290754518378</v>
      </c>
      <c r="W59" s="112">
        <f t="shared" si="16"/>
        <v>4070.1292389411387</v>
      </c>
      <c r="X59" s="112">
        <f t="shared" si="16"/>
        <v>4164.8806966599577</v>
      </c>
      <c r="Y59" s="112">
        <f t="shared" si="16"/>
        <v>4261.8360455434249</v>
      </c>
      <c r="Z59" s="112">
        <f t="shared" si="16"/>
        <v>4361.0477672602683</v>
      </c>
      <c r="AA59" s="112">
        <f t="shared" si="16"/>
        <v>4462.5688223559218</v>
      </c>
      <c r="AB59" s="112">
        <f t="shared" si="16"/>
        <v>4566.4531043647248</v>
      </c>
    </row>
    <row r="60" spans="3:28">
      <c r="K60" s="347">
        <f>'All Rev &amp; Projects'!B23</f>
        <v>0.04</v>
      </c>
      <c r="M60" s="314" t="s">
        <v>853</v>
      </c>
      <c r="N60" s="112">
        <f>SUM(I35:M35)/5</f>
        <v>45983.199999999997</v>
      </c>
      <c r="O60" s="112">
        <f>(SUM(J35:$M$35,$N$63:N63))/5</f>
        <v>48921.794500000004</v>
      </c>
      <c r="P60" s="112">
        <f>(SUM(K35:$M$35,$N$63:O63))/5</f>
        <v>52104.835605749999</v>
      </c>
      <c r="Q60" s="112">
        <f>(SUM(L35:$M$35,$N$63:P63))/5</f>
        <v>54659.066354657625</v>
      </c>
      <c r="R60" s="112">
        <f>(SUM(M35:$M$35,$N$63:Q63))/5</f>
        <v>56212.764763785803</v>
      </c>
      <c r="S60" s="112">
        <f t="shared" ref="S60:AB60" si="17">SUM(N63:R63)/5</f>
        <v>57606.796506965089</v>
      </c>
      <c r="T60" s="112">
        <f t="shared" si="17"/>
        <v>58993.572430294167</v>
      </c>
      <c r="U60" s="112">
        <f t="shared" si="17"/>
        <v>60385.060849465648</v>
      </c>
      <c r="V60" s="112">
        <f t="shared" si="17"/>
        <v>61795.884004466447</v>
      </c>
      <c r="W60" s="112">
        <f t="shared" si="17"/>
        <v>63236.378242301304</v>
      </c>
      <c r="X60" s="112">
        <f t="shared" si="17"/>
        <v>64709.273967934903</v>
      </c>
      <c r="Y60" s="112">
        <f t="shared" si="17"/>
        <v>66215.932961007202</v>
      </c>
      <c r="Z60" s="112">
        <f t="shared" si="17"/>
        <v>67757.472597907734</v>
      </c>
      <c r="AA60" s="112">
        <f t="shared" si="17"/>
        <v>69334.837628490117</v>
      </c>
      <c r="AB60" s="112">
        <f t="shared" si="17"/>
        <v>70948.898979461126</v>
      </c>
    </row>
    <row r="61" spans="3:28">
      <c r="L61" s="314" t="s">
        <v>851</v>
      </c>
      <c r="M61" s="388">
        <f>M24</f>
        <v>1342</v>
      </c>
      <c r="N61" s="112">
        <f>N60*$K$60</f>
        <v>1839.328</v>
      </c>
      <c r="O61" s="112">
        <f t="shared" ref="O61:AB61" si="18">O60*$K$60</f>
        <v>1956.8717800000002</v>
      </c>
      <c r="P61" s="112">
        <f t="shared" si="18"/>
        <v>2084.1934242299999</v>
      </c>
      <c r="Q61" s="112">
        <f t="shared" si="18"/>
        <v>2186.362654186305</v>
      </c>
      <c r="R61" s="112">
        <f t="shared" si="18"/>
        <v>2248.510590551432</v>
      </c>
      <c r="S61" s="112">
        <f t="shared" si="18"/>
        <v>2304.2718602786035</v>
      </c>
      <c r="T61" s="112">
        <f t="shared" si="18"/>
        <v>2359.7428972117668</v>
      </c>
      <c r="U61" s="112">
        <f t="shared" si="18"/>
        <v>2415.402433978626</v>
      </c>
      <c r="V61" s="112">
        <f t="shared" si="18"/>
        <v>2471.835360178658</v>
      </c>
      <c r="W61" s="112">
        <f t="shared" si="18"/>
        <v>2529.4551296920522</v>
      </c>
      <c r="X61" s="112">
        <f t="shared" si="18"/>
        <v>2588.3709587173962</v>
      </c>
      <c r="Y61" s="112">
        <f t="shared" si="18"/>
        <v>2648.6373184402883</v>
      </c>
      <c r="Z61" s="112">
        <f t="shared" si="18"/>
        <v>2710.2989039163094</v>
      </c>
      <c r="AA61" s="112">
        <f t="shared" si="18"/>
        <v>2773.3935051396047</v>
      </c>
      <c r="AB61" s="112">
        <f t="shared" si="18"/>
        <v>2837.955959178445</v>
      </c>
    </row>
    <row r="63" spans="3:28">
      <c r="N63" s="112">
        <f>N58+N59-N61</f>
        <v>54830.972499999996</v>
      </c>
      <c r="O63" s="112">
        <f t="shared" ref="O63:AB63" si="19">O58+O59-O61</f>
        <v>56246.205528749997</v>
      </c>
      <c r="P63" s="112">
        <f t="shared" si="19"/>
        <v>57621.153744538125</v>
      </c>
      <c r="Q63" s="112">
        <f t="shared" si="19"/>
        <v>58978.492045640916</v>
      </c>
      <c r="R63" s="112">
        <f t="shared" si="19"/>
        <v>60357.158715896396</v>
      </c>
      <c r="S63" s="112">
        <f t="shared" si="19"/>
        <v>61764.852116645423</v>
      </c>
      <c r="T63" s="112">
        <f t="shared" si="19"/>
        <v>63203.647624607358</v>
      </c>
      <c r="U63" s="112">
        <f t="shared" si="19"/>
        <v>64675.269519542082</v>
      </c>
      <c r="V63" s="112">
        <f t="shared" si="19"/>
        <v>66180.963234815266</v>
      </c>
      <c r="W63" s="112">
        <f t="shared" si="19"/>
        <v>67721.637344064351</v>
      </c>
      <c r="X63" s="112">
        <f t="shared" si="19"/>
        <v>69298.147082006908</v>
      </c>
      <c r="Y63" s="112">
        <f t="shared" si="19"/>
        <v>70911.345809110047</v>
      </c>
      <c r="Z63" s="112">
        <f t="shared" si="19"/>
        <v>72562.094672454012</v>
      </c>
      <c r="AA63" s="112">
        <f t="shared" si="19"/>
        <v>74251.269989670327</v>
      </c>
      <c r="AB63" s="112">
        <f t="shared" si="19"/>
        <v>75979.767134856607</v>
      </c>
    </row>
    <row r="64" spans="3:28">
      <c r="N64">
        <f>INDEX(N75:N76,ABS('All Rev &amp; Projects'!$A$23-3))</f>
        <v>3283.3004999999998</v>
      </c>
    </row>
    <row r="66" spans="2:33">
      <c r="F66" s="29"/>
      <c r="G66" s="29"/>
      <c r="H66" s="29"/>
      <c r="I66" s="29"/>
      <c r="J66" s="29"/>
      <c r="K66" s="29"/>
      <c r="L66" s="29"/>
      <c r="M66" s="29"/>
      <c r="N66" s="116">
        <v>2016</v>
      </c>
      <c r="O66" s="116">
        <v>2017</v>
      </c>
      <c r="P66" s="116">
        <v>2018</v>
      </c>
      <c r="Q66" s="116">
        <v>2019</v>
      </c>
      <c r="R66" s="116">
        <v>2020</v>
      </c>
      <c r="S66" s="116">
        <v>2021</v>
      </c>
      <c r="T66" s="116">
        <v>2022</v>
      </c>
      <c r="U66" s="116">
        <v>2023</v>
      </c>
      <c r="V66" s="116">
        <v>2024</v>
      </c>
      <c r="W66" s="116">
        <v>2025</v>
      </c>
      <c r="X66" s="116">
        <v>2026</v>
      </c>
      <c r="Y66" s="116">
        <v>2027</v>
      </c>
      <c r="Z66" s="116">
        <v>2028</v>
      </c>
      <c r="AA66" s="116">
        <v>2029</v>
      </c>
      <c r="AB66" s="116">
        <v>2030</v>
      </c>
      <c r="AC66" s="115"/>
      <c r="AD66" s="115"/>
      <c r="AE66" s="115"/>
      <c r="AF66" s="115"/>
      <c r="AG66" s="114"/>
    </row>
    <row r="67" spans="2:33">
      <c r="B67" s="113"/>
      <c r="C67" s="113"/>
      <c r="D67" s="113"/>
      <c r="E67" s="113"/>
      <c r="G67" s="112"/>
      <c r="H67" s="112"/>
      <c r="I67" s="112"/>
      <c r="J67" s="112"/>
      <c r="K67" s="112"/>
      <c r="L67" s="112"/>
      <c r="M67" s="111">
        <v>0.05</v>
      </c>
      <c r="N67" s="110">
        <f>N43</f>
        <v>2299.16</v>
      </c>
      <c r="O67" s="110">
        <f t="shared" ref="O67:AB67" si="20">O43</f>
        <v>2441.4914050000002</v>
      </c>
      <c r="P67" s="110">
        <f t="shared" si="20"/>
        <v>2590.9161473575</v>
      </c>
      <c r="Q67" s="110">
        <f t="shared" si="20"/>
        <v>2703.2349148964113</v>
      </c>
      <c r="R67" s="110">
        <f t="shared" si="20"/>
        <v>2759.4116874900014</v>
      </c>
      <c r="S67" s="110">
        <f t="shared" si="20"/>
        <v>2801.1733647231968</v>
      </c>
      <c r="T67" s="110">
        <f t="shared" si="20"/>
        <v>2840.4832514590025</v>
      </c>
      <c r="U67" s="110">
        <f t="shared" si="20"/>
        <v>2878.2207777644708</v>
      </c>
      <c r="V67" s="110">
        <f t="shared" si="20"/>
        <v>2915.4061156336547</v>
      </c>
      <c r="W67" s="110">
        <f t="shared" si="20"/>
        <v>2952.7566397744213</v>
      </c>
      <c r="X67" s="110">
        <f t="shared" si="20"/>
        <v>2990.4707716270009</v>
      </c>
      <c r="Y67" s="110">
        <f t="shared" si="20"/>
        <v>3028.6113485194765</v>
      </c>
      <c r="Z67" s="110">
        <f t="shared" si="20"/>
        <v>3067.216289920234</v>
      </c>
      <c r="AA67" s="110">
        <f t="shared" si="20"/>
        <v>3106.3054800955802</v>
      </c>
      <c r="AB67" s="110">
        <f t="shared" si="20"/>
        <v>3145.8896618220911</v>
      </c>
    </row>
    <row r="68" spans="2:33">
      <c r="B68" s="113"/>
      <c r="C68" s="113"/>
      <c r="D68" s="113"/>
      <c r="E68" s="113"/>
      <c r="G68" s="112"/>
      <c r="H68" s="112"/>
      <c r="I68" s="112"/>
      <c r="J68" s="112"/>
      <c r="K68" s="112"/>
      <c r="L68" s="112"/>
      <c r="M68" s="111">
        <v>0.04</v>
      </c>
      <c r="N68" s="110">
        <f t="shared" ref="N68:AB68" si="21">N52</f>
        <v>1839.328</v>
      </c>
      <c r="O68" s="110">
        <f t="shared" si="21"/>
        <v>1956.8717800000002</v>
      </c>
      <c r="P68" s="110">
        <f t="shared" si="21"/>
        <v>2084.1934242299999</v>
      </c>
      <c r="Q68" s="110">
        <f t="shared" si="21"/>
        <v>2186.3626541863046</v>
      </c>
      <c r="R68" s="110">
        <f t="shared" si="21"/>
        <v>2248.510590551432</v>
      </c>
      <c r="S68" s="110">
        <f t="shared" si="21"/>
        <v>2304.2718602786035</v>
      </c>
      <c r="T68" s="110">
        <f t="shared" si="21"/>
        <v>2359.7428972117668</v>
      </c>
      <c r="U68" s="110">
        <f t="shared" si="21"/>
        <v>2415.4024339786256</v>
      </c>
      <c r="V68" s="110">
        <f t="shared" si="21"/>
        <v>2471.8353601786575</v>
      </c>
      <c r="W68" s="110">
        <f t="shared" si="21"/>
        <v>2529.4551296920527</v>
      </c>
      <c r="X68" s="110">
        <f t="shared" si="21"/>
        <v>2588.3709587173962</v>
      </c>
      <c r="Y68" s="110">
        <f t="shared" si="21"/>
        <v>2648.6373184402883</v>
      </c>
      <c r="Z68" s="110">
        <f t="shared" si="21"/>
        <v>2710.2989039163094</v>
      </c>
      <c r="AA68" s="110">
        <f t="shared" si="21"/>
        <v>2773.3935051396047</v>
      </c>
      <c r="AB68" s="110">
        <f t="shared" si="21"/>
        <v>2837.9559591784455</v>
      </c>
    </row>
    <row r="69" spans="2:33">
      <c r="G69" s="109"/>
    </row>
    <row r="70" spans="2:33">
      <c r="N70">
        <f t="shared" ref="N70:AB70" si="22">N66</f>
        <v>2016</v>
      </c>
      <c r="O70">
        <f t="shared" si="22"/>
        <v>2017</v>
      </c>
      <c r="P70">
        <f t="shared" si="22"/>
        <v>2018</v>
      </c>
      <c r="Q70">
        <f t="shared" si="22"/>
        <v>2019</v>
      </c>
      <c r="R70">
        <f t="shared" si="22"/>
        <v>2020</v>
      </c>
      <c r="S70">
        <f t="shared" si="22"/>
        <v>2021</v>
      </c>
      <c r="T70">
        <f t="shared" si="22"/>
        <v>2022</v>
      </c>
      <c r="U70">
        <f t="shared" si="22"/>
        <v>2023</v>
      </c>
      <c r="V70">
        <f t="shared" si="22"/>
        <v>2024</v>
      </c>
      <c r="W70">
        <f t="shared" si="22"/>
        <v>2025</v>
      </c>
      <c r="X70">
        <f t="shared" si="22"/>
        <v>2026</v>
      </c>
      <c r="Y70">
        <f t="shared" si="22"/>
        <v>2027</v>
      </c>
      <c r="Z70">
        <f t="shared" si="22"/>
        <v>2028</v>
      </c>
      <c r="AA70">
        <f t="shared" si="22"/>
        <v>2029</v>
      </c>
      <c r="AB70">
        <f t="shared" si="22"/>
        <v>2030</v>
      </c>
    </row>
    <row r="71" spans="2:33">
      <c r="M71" s="113">
        <f>M68</f>
        <v>0.04</v>
      </c>
      <c r="N71" s="388">
        <f t="shared" ref="N71:AB71" si="23">N54</f>
        <v>54830.972499999996</v>
      </c>
      <c r="O71" s="388">
        <f t="shared" si="23"/>
        <v>56246.205528749997</v>
      </c>
      <c r="P71" s="388">
        <f t="shared" si="23"/>
        <v>57621.153744538125</v>
      </c>
      <c r="Q71" s="388">
        <f t="shared" si="23"/>
        <v>58978.492045640916</v>
      </c>
      <c r="R71" s="388">
        <f t="shared" si="23"/>
        <v>60357.158715896396</v>
      </c>
      <c r="S71" s="388">
        <f t="shared" si="23"/>
        <v>61764.852116645423</v>
      </c>
      <c r="T71" s="388">
        <f t="shared" si="23"/>
        <v>63203.647624607358</v>
      </c>
      <c r="U71" s="388">
        <f t="shared" si="23"/>
        <v>64675.269519542082</v>
      </c>
      <c r="V71" s="388">
        <f t="shared" si="23"/>
        <v>66180.963234815266</v>
      </c>
      <c r="W71" s="388">
        <f t="shared" si="23"/>
        <v>67721.637344064351</v>
      </c>
      <c r="X71" s="388">
        <f t="shared" si="23"/>
        <v>69298.147082006908</v>
      </c>
      <c r="Y71" s="388">
        <f t="shared" si="23"/>
        <v>70911.345809110047</v>
      </c>
      <c r="Z71" s="388">
        <f t="shared" si="23"/>
        <v>72562.094672454012</v>
      </c>
      <c r="AA71" s="388">
        <f t="shared" si="23"/>
        <v>74251.269989670327</v>
      </c>
      <c r="AB71" s="388">
        <f t="shared" si="23"/>
        <v>75979.767134856607</v>
      </c>
    </row>
    <row r="72" spans="2:33">
      <c r="M72" s="113">
        <f>M67</f>
        <v>0.05</v>
      </c>
      <c r="N72" s="388">
        <f t="shared" ref="N72:AB72" si="24">N45</f>
        <v>54371.140499999994</v>
      </c>
      <c r="O72" s="388">
        <f t="shared" si="24"/>
        <v>55273.474235749993</v>
      </c>
      <c r="P72" s="388">
        <f t="shared" si="24"/>
        <v>56081.87675389112</v>
      </c>
      <c r="Q72" s="388">
        <f t="shared" si="24"/>
        <v>56827.677259359014</v>
      </c>
      <c r="R72" s="388">
        <f t="shared" si="24"/>
        <v>57563.167723319595</v>
      </c>
      <c r="S72" s="388">
        <f t="shared" si="24"/>
        <v>58302.129173580557</v>
      </c>
      <c r="T72" s="388">
        <f t="shared" si="24"/>
        <v>59047.226866296762</v>
      </c>
      <c r="U72" s="388">
        <f t="shared" si="24"/>
        <v>59800.410540809542</v>
      </c>
      <c r="V72" s="388">
        <f t="shared" si="24"/>
        <v>60562.729673435679</v>
      </c>
      <c r="W72" s="388">
        <f t="shared" si="24"/>
        <v>61334.580908577547</v>
      </c>
      <c r="X72" s="388">
        <f t="shared" si="24"/>
        <v>62116.186862828064</v>
      </c>
      <c r="Y72" s="388">
        <f t="shared" si="24"/>
        <v>62907.721006372507</v>
      </c>
      <c r="Z72" s="388">
        <f t="shared" si="24"/>
        <v>63709.32955834418</v>
      </c>
      <c r="AA72" s="388">
        <f t="shared" si="24"/>
        <v>64521.147846086773</v>
      </c>
      <c r="AB72" s="388">
        <f t="shared" si="24"/>
        <v>65343.308776799022</v>
      </c>
    </row>
    <row r="74" spans="2:33">
      <c r="N74">
        <f>N70</f>
        <v>2016</v>
      </c>
      <c r="O74">
        <f t="shared" ref="O74:AB74" si="25">O70</f>
        <v>2017</v>
      </c>
      <c r="P74">
        <f t="shared" si="25"/>
        <v>2018</v>
      </c>
      <c r="Q74">
        <f t="shared" si="25"/>
        <v>2019</v>
      </c>
      <c r="R74">
        <f t="shared" si="25"/>
        <v>2020</v>
      </c>
      <c r="S74">
        <f t="shared" si="25"/>
        <v>2021</v>
      </c>
      <c r="T74">
        <f t="shared" si="25"/>
        <v>2022</v>
      </c>
      <c r="U74">
        <f t="shared" si="25"/>
        <v>2023</v>
      </c>
      <c r="V74">
        <f t="shared" si="25"/>
        <v>2024</v>
      </c>
      <c r="W74">
        <f t="shared" si="25"/>
        <v>2025</v>
      </c>
      <c r="X74">
        <f t="shared" si="25"/>
        <v>2026</v>
      </c>
      <c r="Y74">
        <f t="shared" si="25"/>
        <v>2027</v>
      </c>
      <c r="Z74">
        <f t="shared" si="25"/>
        <v>2028</v>
      </c>
      <c r="AA74">
        <f t="shared" si="25"/>
        <v>2029</v>
      </c>
      <c r="AB74">
        <f t="shared" si="25"/>
        <v>2030</v>
      </c>
    </row>
    <row r="75" spans="2:33">
      <c r="M75" s="1">
        <v>0.05</v>
      </c>
      <c r="N75" s="388">
        <f>N41</f>
        <v>3283.3004999999998</v>
      </c>
      <c r="O75" s="388">
        <f t="shared" ref="O75:AB75" si="26">O41</f>
        <v>3343.8251407499997</v>
      </c>
      <c r="P75" s="388">
        <f t="shared" si="26"/>
        <v>3399.3186654986243</v>
      </c>
      <c r="Q75" s="388">
        <f t="shared" si="26"/>
        <v>3449.0354203643037</v>
      </c>
      <c r="R75" s="388">
        <f t="shared" si="26"/>
        <v>3494.9021514505794</v>
      </c>
      <c r="S75" s="388">
        <f t="shared" si="26"/>
        <v>3540.1348149841551</v>
      </c>
      <c r="T75" s="388">
        <f t="shared" si="26"/>
        <v>3585.5809441752044</v>
      </c>
      <c r="U75" s="388">
        <f t="shared" si="26"/>
        <v>3631.4044522772506</v>
      </c>
      <c r="V75" s="388">
        <f t="shared" si="26"/>
        <v>3677.7252482597869</v>
      </c>
      <c r="W75" s="388">
        <f t="shared" si="26"/>
        <v>3724.6078749162943</v>
      </c>
      <c r="X75" s="388">
        <f t="shared" si="26"/>
        <v>3772.076725877519</v>
      </c>
      <c r="Y75" s="388">
        <f t="shared" si="26"/>
        <v>3820.1454920639258</v>
      </c>
      <c r="Z75" s="388">
        <f t="shared" si="26"/>
        <v>3868.8248418919093</v>
      </c>
      <c r="AA75" s="388">
        <f t="shared" si="26"/>
        <v>3918.1237678381672</v>
      </c>
      <c r="AB75" s="388">
        <f t="shared" si="26"/>
        <v>3968.0505925343364</v>
      </c>
    </row>
    <row r="76" spans="2:33">
      <c r="M76" s="1">
        <v>0.04</v>
      </c>
      <c r="N76" s="388">
        <f>N50</f>
        <v>3283.3004999999998</v>
      </c>
      <c r="O76" s="388">
        <f t="shared" ref="O76:AB76" si="27">O50</f>
        <v>3372.1048087499998</v>
      </c>
      <c r="P76" s="388">
        <f t="shared" si="27"/>
        <v>3459.1416400181247</v>
      </c>
      <c r="Q76" s="388">
        <f t="shared" si="27"/>
        <v>3543.7009552890945</v>
      </c>
      <c r="R76" s="388">
        <f t="shared" si="27"/>
        <v>3627.1772608069164</v>
      </c>
      <c r="S76" s="388">
        <f t="shared" si="27"/>
        <v>3711.9652610276285</v>
      </c>
      <c r="T76" s="388">
        <f t="shared" si="27"/>
        <v>3798.5384051736933</v>
      </c>
      <c r="U76" s="388">
        <f t="shared" si="27"/>
        <v>3887.0243289133523</v>
      </c>
      <c r="V76" s="388">
        <f t="shared" si="27"/>
        <v>3977.5290754518378</v>
      </c>
      <c r="W76" s="388">
        <f t="shared" si="27"/>
        <v>4070.1292389411387</v>
      </c>
      <c r="X76" s="388">
        <f t="shared" si="27"/>
        <v>4164.8806966599577</v>
      </c>
      <c r="Y76" s="388">
        <f t="shared" si="27"/>
        <v>4261.8360455434249</v>
      </c>
      <c r="Z76" s="388">
        <f t="shared" si="27"/>
        <v>4361.0477672602683</v>
      </c>
      <c r="AA76" s="388">
        <f t="shared" si="27"/>
        <v>4462.5688223559218</v>
      </c>
      <c r="AB76" s="388">
        <f t="shared" si="27"/>
        <v>4566.4531043647248</v>
      </c>
    </row>
    <row r="83" spans="14:28">
      <c r="N83" s="112"/>
      <c r="O83" s="112"/>
      <c r="P83" s="112"/>
      <c r="Q83" s="112"/>
      <c r="R83" s="112"/>
      <c r="S83" s="112"/>
      <c r="T83" s="112"/>
      <c r="U83" s="112"/>
      <c r="V83" s="112"/>
      <c r="W83" s="112"/>
      <c r="X83" s="112"/>
      <c r="Y83" s="112"/>
      <c r="Z83" s="112"/>
      <c r="AA83" s="112"/>
      <c r="AB83" s="112"/>
    </row>
    <row r="88" spans="14:28">
      <c r="N88" s="388"/>
      <c r="O88" s="388"/>
      <c r="P88" s="388"/>
      <c r="Q88" s="388"/>
      <c r="R88" s="388"/>
      <c r="S88" s="388"/>
      <c r="T88" s="388"/>
      <c r="U88" s="388"/>
      <c r="V88" s="388"/>
      <c r="W88" s="388"/>
      <c r="X88" s="388"/>
      <c r="Y88" s="388"/>
      <c r="Z88" s="388"/>
      <c r="AA88" s="388"/>
      <c r="AB88" s="388"/>
    </row>
  </sheetData>
  <sheetProtection password="CC29" sheet="1" objects="1" scenarios="1" selectLockedCells="1" selectUnlockedCells="1"/>
  <pageMargins left="0.7" right="0.7" top="0.75" bottom="0.75" header="0.3" footer="0.3"/>
  <pageSetup scale="3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AK88"/>
  <sheetViews>
    <sheetView topLeftCell="A13" workbookViewId="0">
      <selection activeCell="B6" sqref="B6:S6"/>
    </sheetView>
  </sheetViews>
  <sheetFormatPr defaultColWidth="9" defaultRowHeight="12.75"/>
  <cols>
    <col min="1" max="4" width="9" style="934" customWidth="1"/>
    <col min="5" max="5" width="9" style="932" customWidth="1"/>
    <col min="6" max="6" width="5.42578125" style="932" customWidth="1"/>
    <col min="7" max="8" width="9" style="932"/>
    <col min="9" max="9" width="16.5703125" style="932" bestFit="1" customWidth="1"/>
    <col min="10" max="11" width="9" style="932"/>
    <col min="12" max="12" width="7.5703125" style="932" customWidth="1"/>
    <col min="13" max="13" width="9" style="932" customWidth="1"/>
    <col min="14" max="14" width="11" style="932" bestFit="1" customWidth="1"/>
    <col min="15" max="16" width="15" style="932" bestFit="1" customWidth="1"/>
    <col min="17" max="225" width="9" style="932"/>
    <col min="226" max="230" width="9" style="932" customWidth="1"/>
    <col min="231" max="231" width="5.42578125" style="932" customWidth="1"/>
    <col min="232" max="234" width="9" style="932" customWidth="1"/>
    <col min="235" max="235" width="5.42578125" style="932" customWidth="1"/>
    <col min="236" max="238" width="9" style="932" customWidth="1"/>
    <col min="239" max="239" width="5.42578125" style="932" customWidth="1"/>
    <col min="240" max="242" width="9" style="932" customWidth="1"/>
    <col min="243" max="243" width="5.42578125" style="932" customWidth="1"/>
    <col min="244" max="246" width="9" style="932" customWidth="1"/>
    <col min="247" max="247" width="5.42578125" style="932" customWidth="1"/>
    <col min="248" max="250" width="9" style="932" customWidth="1"/>
    <col min="251" max="251" width="5.42578125" style="932" customWidth="1"/>
    <col min="252" max="254" width="9" style="932" customWidth="1"/>
    <col min="255" max="255" width="5.42578125" style="932" customWidth="1"/>
    <col min="256" max="258" width="9" style="932" customWidth="1"/>
    <col min="259" max="259" width="5.42578125" style="932" customWidth="1"/>
    <col min="260" max="481" width="9" style="932"/>
    <col min="482" max="486" width="9" style="932" customWidth="1"/>
    <col min="487" max="487" width="5.42578125" style="932" customWidth="1"/>
    <col min="488" max="490" width="9" style="932" customWidth="1"/>
    <col min="491" max="491" width="5.42578125" style="932" customWidth="1"/>
    <col min="492" max="494" width="9" style="932" customWidth="1"/>
    <col min="495" max="495" width="5.42578125" style="932" customWidth="1"/>
    <col min="496" max="498" width="9" style="932" customWidth="1"/>
    <col min="499" max="499" width="5.42578125" style="932" customWidth="1"/>
    <col min="500" max="502" width="9" style="932" customWidth="1"/>
    <col min="503" max="503" width="5.42578125" style="932" customWidth="1"/>
    <col min="504" max="506" width="9" style="932" customWidth="1"/>
    <col min="507" max="507" width="5.42578125" style="932" customWidth="1"/>
    <col min="508" max="510" width="9" style="932" customWidth="1"/>
    <col min="511" max="511" width="5.42578125" style="932" customWidth="1"/>
    <col min="512" max="514" width="9" style="932" customWidth="1"/>
    <col min="515" max="515" width="5.42578125" style="932" customWidth="1"/>
    <col min="516" max="737" width="9" style="932"/>
    <col min="738" max="742" width="9" style="932" customWidth="1"/>
    <col min="743" max="743" width="5.42578125" style="932" customWidth="1"/>
    <col min="744" max="746" width="9" style="932" customWidth="1"/>
    <col min="747" max="747" width="5.42578125" style="932" customWidth="1"/>
    <col min="748" max="750" width="9" style="932" customWidth="1"/>
    <col min="751" max="751" width="5.42578125" style="932" customWidth="1"/>
    <col min="752" max="754" width="9" style="932" customWidth="1"/>
    <col min="755" max="755" width="5.42578125" style="932" customWidth="1"/>
    <col min="756" max="758" width="9" style="932" customWidth="1"/>
    <col min="759" max="759" width="5.42578125" style="932" customWidth="1"/>
    <col min="760" max="762" width="9" style="932" customWidth="1"/>
    <col min="763" max="763" width="5.42578125" style="932" customWidth="1"/>
    <col min="764" max="766" width="9" style="932" customWidth="1"/>
    <col min="767" max="767" width="5.42578125" style="932" customWidth="1"/>
    <col min="768" max="770" width="9" style="932" customWidth="1"/>
    <col min="771" max="771" width="5.42578125" style="932" customWidth="1"/>
    <col min="772" max="993" width="9" style="932"/>
    <col min="994" max="998" width="9" style="932" customWidth="1"/>
    <col min="999" max="999" width="5.42578125" style="932" customWidth="1"/>
    <col min="1000" max="1002" width="9" style="932" customWidth="1"/>
    <col min="1003" max="1003" width="5.42578125" style="932" customWidth="1"/>
    <col min="1004" max="1006" width="9" style="932" customWidth="1"/>
    <col min="1007" max="1007" width="5.42578125" style="932" customWidth="1"/>
    <col min="1008" max="1010" width="9" style="932" customWidth="1"/>
    <col min="1011" max="1011" width="5.42578125" style="932" customWidth="1"/>
    <col min="1012" max="1014" width="9" style="932" customWidth="1"/>
    <col min="1015" max="1015" width="5.42578125" style="932" customWidth="1"/>
    <col min="1016" max="1018" width="9" style="932" customWidth="1"/>
    <col min="1019" max="1019" width="5.42578125" style="932" customWidth="1"/>
    <col min="1020" max="1022" width="9" style="932" customWidth="1"/>
    <col min="1023" max="1023" width="5.42578125" style="932" customWidth="1"/>
    <col min="1024" max="1026" width="9" style="932" customWidth="1"/>
    <col min="1027" max="1027" width="5.42578125" style="932" customWidth="1"/>
    <col min="1028" max="1249" width="9" style="932"/>
    <col min="1250" max="1254" width="9" style="932" customWidth="1"/>
    <col min="1255" max="1255" width="5.42578125" style="932" customWidth="1"/>
    <col min="1256" max="1258" width="9" style="932" customWidth="1"/>
    <col min="1259" max="1259" width="5.42578125" style="932" customWidth="1"/>
    <col min="1260" max="1262" width="9" style="932" customWidth="1"/>
    <col min="1263" max="1263" width="5.42578125" style="932" customWidth="1"/>
    <col min="1264" max="1266" width="9" style="932" customWidth="1"/>
    <col min="1267" max="1267" width="5.42578125" style="932" customWidth="1"/>
    <col min="1268" max="1270" width="9" style="932" customWidth="1"/>
    <col min="1271" max="1271" width="5.42578125" style="932" customWidth="1"/>
    <col min="1272" max="1274" width="9" style="932" customWidth="1"/>
    <col min="1275" max="1275" width="5.42578125" style="932" customWidth="1"/>
    <col min="1276" max="1278" width="9" style="932" customWidth="1"/>
    <col min="1279" max="1279" width="5.42578125" style="932" customWidth="1"/>
    <col min="1280" max="1282" width="9" style="932" customWidth="1"/>
    <col min="1283" max="1283" width="5.42578125" style="932" customWidth="1"/>
    <col min="1284" max="1505" width="9" style="932"/>
    <col min="1506" max="1510" width="9" style="932" customWidth="1"/>
    <col min="1511" max="1511" width="5.42578125" style="932" customWidth="1"/>
    <col min="1512" max="1514" width="9" style="932" customWidth="1"/>
    <col min="1515" max="1515" width="5.42578125" style="932" customWidth="1"/>
    <col min="1516" max="1518" width="9" style="932" customWidth="1"/>
    <col min="1519" max="1519" width="5.42578125" style="932" customWidth="1"/>
    <col min="1520" max="1522" width="9" style="932" customWidth="1"/>
    <col min="1523" max="1523" width="5.42578125" style="932" customWidth="1"/>
    <col min="1524" max="1526" width="9" style="932" customWidth="1"/>
    <col min="1527" max="1527" width="5.42578125" style="932" customWidth="1"/>
    <col min="1528" max="1530" width="9" style="932" customWidth="1"/>
    <col min="1531" max="1531" width="5.42578125" style="932" customWidth="1"/>
    <col min="1532" max="1534" width="9" style="932" customWidth="1"/>
    <col min="1535" max="1535" width="5.42578125" style="932" customWidth="1"/>
    <col min="1536" max="1538" width="9" style="932" customWidth="1"/>
    <col min="1539" max="1539" width="5.42578125" style="932" customWidth="1"/>
    <col min="1540" max="1761" width="9" style="932"/>
    <col min="1762" max="1766" width="9" style="932" customWidth="1"/>
    <col min="1767" max="1767" width="5.42578125" style="932" customWidth="1"/>
    <col min="1768" max="1770" width="9" style="932" customWidth="1"/>
    <col min="1771" max="1771" width="5.42578125" style="932" customWidth="1"/>
    <col min="1772" max="1774" width="9" style="932" customWidth="1"/>
    <col min="1775" max="1775" width="5.42578125" style="932" customWidth="1"/>
    <col min="1776" max="1778" width="9" style="932" customWidth="1"/>
    <col min="1779" max="1779" width="5.42578125" style="932" customWidth="1"/>
    <col min="1780" max="1782" width="9" style="932" customWidth="1"/>
    <col min="1783" max="1783" width="5.42578125" style="932" customWidth="1"/>
    <col min="1784" max="1786" width="9" style="932" customWidth="1"/>
    <col min="1787" max="1787" width="5.42578125" style="932" customWidth="1"/>
    <col min="1788" max="1790" width="9" style="932" customWidth="1"/>
    <col min="1791" max="1791" width="5.42578125" style="932" customWidth="1"/>
    <col min="1792" max="1794" width="9" style="932" customWidth="1"/>
    <col min="1795" max="1795" width="5.42578125" style="932" customWidth="1"/>
    <col min="1796" max="2017" width="9" style="932"/>
    <col min="2018" max="2022" width="9" style="932" customWidth="1"/>
    <col min="2023" max="2023" width="5.42578125" style="932" customWidth="1"/>
    <col min="2024" max="2026" width="9" style="932" customWidth="1"/>
    <col min="2027" max="2027" width="5.42578125" style="932" customWidth="1"/>
    <col min="2028" max="2030" width="9" style="932" customWidth="1"/>
    <col min="2031" max="2031" width="5.42578125" style="932" customWidth="1"/>
    <col min="2032" max="2034" width="9" style="932" customWidth="1"/>
    <col min="2035" max="2035" width="5.42578125" style="932" customWidth="1"/>
    <col min="2036" max="2038" width="9" style="932" customWidth="1"/>
    <col min="2039" max="2039" width="5.42578125" style="932" customWidth="1"/>
    <col min="2040" max="2042" width="9" style="932" customWidth="1"/>
    <col min="2043" max="2043" width="5.42578125" style="932" customWidth="1"/>
    <col min="2044" max="2046" width="9" style="932" customWidth="1"/>
    <col min="2047" max="2047" width="5.42578125" style="932" customWidth="1"/>
    <col min="2048" max="2050" width="9" style="932" customWidth="1"/>
    <col min="2051" max="2051" width="5.42578125" style="932" customWidth="1"/>
    <col min="2052" max="2273" width="9" style="932"/>
    <col min="2274" max="2278" width="9" style="932" customWidth="1"/>
    <col min="2279" max="2279" width="5.42578125" style="932" customWidth="1"/>
    <col min="2280" max="2282" width="9" style="932" customWidth="1"/>
    <col min="2283" max="2283" width="5.42578125" style="932" customWidth="1"/>
    <col min="2284" max="2286" width="9" style="932" customWidth="1"/>
    <col min="2287" max="2287" width="5.42578125" style="932" customWidth="1"/>
    <col min="2288" max="2290" width="9" style="932" customWidth="1"/>
    <col min="2291" max="2291" width="5.42578125" style="932" customWidth="1"/>
    <col min="2292" max="2294" width="9" style="932" customWidth="1"/>
    <col min="2295" max="2295" width="5.42578125" style="932" customWidth="1"/>
    <col min="2296" max="2298" width="9" style="932" customWidth="1"/>
    <col min="2299" max="2299" width="5.42578125" style="932" customWidth="1"/>
    <col min="2300" max="2302" width="9" style="932" customWidth="1"/>
    <col min="2303" max="2303" width="5.42578125" style="932" customWidth="1"/>
    <col min="2304" max="2306" width="9" style="932" customWidth="1"/>
    <col min="2307" max="2307" width="5.42578125" style="932" customWidth="1"/>
    <col min="2308" max="2529" width="9" style="932"/>
    <col min="2530" max="2534" width="9" style="932" customWidth="1"/>
    <col min="2535" max="2535" width="5.42578125" style="932" customWidth="1"/>
    <col min="2536" max="2538" width="9" style="932" customWidth="1"/>
    <col min="2539" max="2539" width="5.42578125" style="932" customWidth="1"/>
    <col min="2540" max="2542" width="9" style="932" customWidth="1"/>
    <col min="2543" max="2543" width="5.42578125" style="932" customWidth="1"/>
    <col min="2544" max="2546" width="9" style="932" customWidth="1"/>
    <col min="2547" max="2547" width="5.42578125" style="932" customWidth="1"/>
    <col min="2548" max="2550" width="9" style="932" customWidth="1"/>
    <col min="2551" max="2551" width="5.42578125" style="932" customWidth="1"/>
    <col min="2552" max="2554" width="9" style="932" customWidth="1"/>
    <col min="2555" max="2555" width="5.42578125" style="932" customWidth="1"/>
    <col min="2556" max="2558" width="9" style="932" customWidth="1"/>
    <col min="2559" max="2559" width="5.42578125" style="932" customWidth="1"/>
    <col min="2560" max="2562" width="9" style="932" customWidth="1"/>
    <col min="2563" max="2563" width="5.42578125" style="932" customWidth="1"/>
    <col min="2564" max="2785" width="9" style="932"/>
    <col min="2786" max="2790" width="9" style="932" customWidth="1"/>
    <col min="2791" max="2791" width="5.42578125" style="932" customWidth="1"/>
    <col min="2792" max="2794" width="9" style="932" customWidth="1"/>
    <col min="2795" max="2795" width="5.42578125" style="932" customWidth="1"/>
    <col min="2796" max="2798" width="9" style="932" customWidth="1"/>
    <col min="2799" max="2799" width="5.42578125" style="932" customWidth="1"/>
    <col min="2800" max="2802" width="9" style="932" customWidth="1"/>
    <col min="2803" max="2803" width="5.42578125" style="932" customWidth="1"/>
    <col min="2804" max="2806" width="9" style="932" customWidth="1"/>
    <col min="2807" max="2807" width="5.42578125" style="932" customWidth="1"/>
    <col min="2808" max="2810" width="9" style="932" customWidth="1"/>
    <col min="2811" max="2811" width="5.42578125" style="932" customWidth="1"/>
    <col min="2812" max="2814" width="9" style="932" customWidth="1"/>
    <col min="2815" max="2815" width="5.42578125" style="932" customWidth="1"/>
    <col min="2816" max="2818" width="9" style="932" customWidth="1"/>
    <col min="2819" max="2819" width="5.42578125" style="932" customWidth="1"/>
    <col min="2820" max="3041" width="9" style="932"/>
    <col min="3042" max="3046" width="9" style="932" customWidth="1"/>
    <col min="3047" max="3047" width="5.42578125" style="932" customWidth="1"/>
    <col min="3048" max="3050" width="9" style="932" customWidth="1"/>
    <col min="3051" max="3051" width="5.42578125" style="932" customWidth="1"/>
    <col min="3052" max="3054" width="9" style="932" customWidth="1"/>
    <col min="3055" max="3055" width="5.42578125" style="932" customWidth="1"/>
    <col min="3056" max="3058" width="9" style="932" customWidth="1"/>
    <col min="3059" max="3059" width="5.42578125" style="932" customWidth="1"/>
    <col min="3060" max="3062" width="9" style="932" customWidth="1"/>
    <col min="3063" max="3063" width="5.42578125" style="932" customWidth="1"/>
    <col min="3064" max="3066" width="9" style="932" customWidth="1"/>
    <col min="3067" max="3067" width="5.42578125" style="932" customWidth="1"/>
    <col min="3068" max="3070" width="9" style="932" customWidth="1"/>
    <col min="3071" max="3071" width="5.42578125" style="932" customWidth="1"/>
    <col min="3072" max="3074" width="9" style="932" customWidth="1"/>
    <col min="3075" max="3075" width="5.42578125" style="932" customWidth="1"/>
    <col min="3076" max="3297" width="9" style="932"/>
    <col min="3298" max="3302" width="9" style="932" customWidth="1"/>
    <col min="3303" max="3303" width="5.42578125" style="932" customWidth="1"/>
    <col min="3304" max="3306" width="9" style="932" customWidth="1"/>
    <col min="3307" max="3307" width="5.42578125" style="932" customWidth="1"/>
    <col min="3308" max="3310" width="9" style="932" customWidth="1"/>
    <col min="3311" max="3311" width="5.42578125" style="932" customWidth="1"/>
    <col min="3312" max="3314" width="9" style="932" customWidth="1"/>
    <col min="3315" max="3315" width="5.42578125" style="932" customWidth="1"/>
    <col min="3316" max="3318" width="9" style="932" customWidth="1"/>
    <col min="3319" max="3319" width="5.42578125" style="932" customWidth="1"/>
    <col min="3320" max="3322" width="9" style="932" customWidth="1"/>
    <col min="3323" max="3323" width="5.42578125" style="932" customWidth="1"/>
    <col min="3324" max="3326" width="9" style="932" customWidth="1"/>
    <col min="3327" max="3327" width="5.42578125" style="932" customWidth="1"/>
    <col min="3328" max="3330" width="9" style="932" customWidth="1"/>
    <col min="3331" max="3331" width="5.42578125" style="932" customWidth="1"/>
    <col min="3332" max="3553" width="9" style="932"/>
    <col min="3554" max="3558" width="9" style="932" customWidth="1"/>
    <col min="3559" max="3559" width="5.42578125" style="932" customWidth="1"/>
    <col min="3560" max="3562" width="9" style="932" customWidth="1"/>
    <col min="3563" max="3563" width="5.42578125" style="932" customWidth="1"/>
    <col min="3564" max="3566" width="9" style="932" customWidth="1"/>
    <col min="3567" max="3567" width="5.42578125" style="932" customWidth="1"/>
    <col min="3568" max="3570" width="9" style="932" customWidth="1"/>
    <col min="3571" max="3571" width="5.42578125" style="932" customWidth="1"/>
    <col min="3572" max="3574" width="9" style="932" customWidth="1"/>
    <col min="3575" max="3575" width="5.42578125" style="932" customWidth="1"/>
    <col min="3576" max="3578" width="9" style="932" customWidth="1"/>
    <col min="3579" max="3579" width="5.42578125" style="932" customWidth="1"/>
    <col min="3580" max="3582" width="9" style="932" customWidth="1"/>
    <col min="3583" max="3583" width="5.42578125" style="932" customWidth="1"/>
    <col min="3584" max="3586" width="9" style="932" customWidth="1"/>
    <col min="3587" max="3587" width="5.42578125" style="932" customWidth="1"/>
    <col min="3588" max="3809" width="9" style="932"/>
    <col min="3810" max="3814" width="9" style="932" customWidth="1"/>
    <col min="3815" max="3815" width="5.42578125" style="932" customWidth="1"/>
    <col min="3816" max="3818" width="9" style="932" customWidth="1"/>
    <col min="3819" max="3819" width="5.42578125" style="932" customWidth="1"/>
    <col min="3820" max="3822" width="9" style="932" customWidth="1"/>
    <col min="3823" max="3823" width="5.42578125" style="932" customWidth="1"/>
    <col min="3824" max="3826" width="9" style="932" customWidth="1"/>
    <col min="3827" max="3827" width="5.42578125" style="932" customWidth="1"/>
    <col min="3828" max="3830" width="9" style="932" customWidth="1"/>
    <col min="3831" max="3831" width="5.42578125" style="932" customWidth="1"/>
    <col min="3832" max="3834" width="9" style="932" customWidth="1"/>
    <col min="3835" max="3835" width="5.42578125" style="932" customWidth="1"/>
    <col min="3836" max="3838" width="9" style="932" customWidth="1"/>
    <col min="3839" max="3839" width="5.42578125" style="932" customWidth="1"/>
    <col min="3840" max="3842" width="9" style="932" customWidth="1"/>
    <col min="3843" max="3843" width="5.42578125" style="932" customWidth="1"/>
    <col min="3844" max="4065" width="9" style="932"/>
    <col min="4066" max="4070" width="9" style="932" customWidth="1"/>
    <col min="4071" max="4071" width="5.42578125" style="932" customWidth="1"/>
    <col min="4072" max="4074" width="9" style="932" customWidth="1"/>
    <col min="4075" max="4075" width="5.42578125" style="932" customWidth="1"/>
    <col min="4076" max="4078" width="9" style="932" customWidth="1"/>
    <col min="4079" max="4079" width="5.42578125" style="932" customWidth="1"/>
    <col min="4080" max="4082" width="9" style="932" customWidth="1"/>
    <col min="4083" max="4083" width="5.42578125" style="932" customWidth="1"/>
    <col min="4084" max="4086" width="9" style="932" customWidth="1"/>
    <col min="4087" max="4087" width="5.42578125" style="932" customWidth="1"/>
    <col min="4088" max="4090" width="9" style="932" customWidth="1"/>
    <col min="4091" max="4091" width="5.42578125" style="932" customWidth="1"/>
    <col min="4092" max="4094" width="9" style="932" customWidth="1"/>
    <col min="4095" max="4095" width="5.42578125" style="932" customWidth="1"/>
    <col min="4096" max="4098" width="9" style="932" customWidth="1"/>
    <col min="4099" max="4099" width="5.42578125" style="932" customWidth="1"/>
    <col min="4100" max="4321" width="9" style="932"/>
    <col min="4322" max="4326" width="9" style="932" customWidth="1"/>
    <col min="4327" max="4327" width="5.42578125" style="932" customWidth="1"/>
    <col min="4328" max="4330" width="9" style="932" customWidth="1"/>
    <col min="4331" max="4331" width="5.42578125" style="932" customWidth="1"/>
    <col min="4332" max="4334" width="9" style="932" customWidth="1"/>
    <col min="4335" max="4335" width="5.42578125" style="932" customWidth="1"/>
    <col min="4336" max="4338" width="9" style="932" customWidth="1"/>
    <col min="4339" max="4339" width="5.42578125" style="932" customWidth="1"/>
    <col min="4340" max="4342" width="9" style="932" customWidth="1"/>
    <col min="4343" max="4343" width="5.42578125" style="932" customWidth="1"/>
    <col min="4344" max="4346" width="9" style="932" customWidth="1"/>
    <col min="4347" max="4347" width="5.42578125" style="932" customWidth="1"/>
    <col min="4348" max="4350" width="9" style="932" customWidth="1"/>
    <col min="4351" max="4351" width="5.42578125" style="932" customWidth="1"/>
    <col min="4352" max="4354" width="9" style="932" customWidth="1"/>
    <col min="4355" max="4355" width="5.42578125" style="932" customWidth="1"/>
    <col min="4356" max="4577" width="9" style="932"/>
    <col min="4578" max="4582" width="9" style="932" customWidth="1"/>
    <col min="4583" max="4583" width="5.42578125" style="932" customWidth="1"/>
    <col min="4584" max="4586" width="9" style="932" customWidth="1"/>
    <col min="4587" max="4587" width="5.42578125" style="932" customWidth="1"/>
    <col min="4588" max="4590" width="9" style="932" customWidth="1"/>
    <col min="4591" max="4591" width="5.42578125" style="932" customWidth="1"/>
    <col min="4592" max="4594" width="9" style="932" customWidth="1"/>
    <col min="4595" max="4595" width="5.42578125" style="932" customWidth="1"/>
    <col min="4596" max="4598" width="9" style="932" customWidth="1"/>
    <col min="4599" max="4599" width="5.42578125" style="932" customWidth="1"/>
    <col min="4600" max="4602" width="9" style="932" customWidth="1"/>
    <col min="4603" max="4603" width="5.42578125" style="932" customWidth="1"/>
    <col min="4604" max="4606" width="9" style="932" customWidth="1"/>
    <col min="4607" max="4607" width="5.42578125" style="932" customWidth="1"/>
    <col min="4608" max="4610" width="9" style="932" customWidth="1"/>
    <col min="4611" max="4611" width="5.42578125" style="932" customWidth="1"/>
    <col min="4612" max="4833" width="9" style="932"/>
    <col min="4834" max="4838" width="9" style="932" customWidth="1"/>
    <col min="4839" max="4839" width="5.42578125" style="932" customWidth="1"/>
    <col min="4840" max="4842" width="9" style="932" customWidth="1"/>
    <col min="4843" max="4843" width="5.42578125" style="932" customWidth="1"/>
    <col min="4844" max="4846" width="9" style="932" customWidth="1"/>
    <col min="4847" max="4847" width="5.42578125" style="932" customWidth="1"/>
    <col min="4848" max="4850" width="9" style="932" customWidth="1"/>
    <col min="4851" max="4851" width="5.42578125" style="932" customWidth="1"/>
    <col min="4852" max="4854" width="9" style="932" customWidth="1"/>
    <col min="4855" max="4855" width="5.42578125" style="932" customWidth="1"/>
    <col min="4856" max="4858" width="9" style="932" customWidth="1"/>
    <col min="4859" max="4859" width="5.42578125" style="932" customWidth="1"/>
    <col min="4860" max="4862" width="9" style="932" customWidth="1"/>
    <col min="4863" max="4863" width="5.42578125" style="932" customWidth="1"/>
    <col min="4864" max="4866" width="9" style="932" customWidth="1"/>
    <col min="4867" max="4867" width="5.42578125" style="932" customWidth="1"/>
    <col min="4868" max="5089" width="9" style="932"/>
    <col min="5090" max="5094" width="9" style="932" customWidth="1"/>
    <col min="5095" max="5095" width="5.42578125" style="932" customWidth="1"/>
    <col min="5096" max="5098" width="9" style="932" customWidth="1"/>
    <col min="5099" max="5099" width="5.42578125" style="932" customWidth="1"/>
    <col min="5100" max="5102" width="9" style="932" customWidth="1"/>
    <col min="5103" max="5103" width="5.42578125" style="932" customWidth="1"/>
    <col min="5104" max="5106" width="9" style="932" customWidth="1"/>
    <col min="5107" max="5107" width="5.42578125" style="932" customWidth="1"/>
    <col min="5108" max="5110" width="9" style="932" customWidth="1"/>
    <col min="5111" max="5111" width="5.42578125" style="932" customWidth="1"/>
    <col min="5112" max="5114" width="9" style="932" customWidth="1"/>
    <col min="5115" max="5115" width="5.42578125" style="932" customWidth="1"/>
    <col min="5116" max="5118" width="9" style="932" customWidth="1"/>
    <col min="5119" max="5119" width="5.42578125" style="932" customWidth="1"/>
    <col min="5120" max="5122" width="9" style="932" customWidth="1"/>
    <col min="5123" max="5123" width="5.42578125" style="932" customWidth="1"/>
    <col min="5124" max="5345" width="9" style="932"/>
    <col min="5346" max="5350" width="9" style="932" customWidth="1"/>
    <col min="5351" max="5351" width="5.42578125" style="932" customWidth="1"/>
    <col min="5352" max="5354" width="9" style="932" customWidth="1"/>
    <col min="5355" max="5355" width="5.42578125" style="932" customWidth="1"/>
    <col min="5356" max="5358" width="9" style="932" customWidth="1"/>
    <col min="5359" max="5359" width="5.42578125" style="932" customWidth="1"/>
    <col min="5360" max="5362" width="9" style="932" customWidth="1"/>
    <col min="5363" max="5363" width="5.42578125" style="932" customWidth="1"/>
    <col min="5364" max="5366" width="9" style="932" customWidth="1"/>
    <col min="5367" max="5367" width="5.42578125" style="932" customWidth="1"/>
    <col min="5368" max="5370" width="9" style="932" customWidth="1"/>
    <col min="5371" max="5371" width="5.42578125" style="932" customWidth="1"/>
    <col min="5372" max="5374" width="9" style="932" customWidth="1"/>
    <col min="5375" max="5375" width="5.42578125" style="932" customWidth="1"/>
    <col min="5376" max="5378" width="9" style="932" customWidth="1"/>
    <col min="5379" max="5379" width="5.42578125" style="932" customWidth="1"/>
    <col min="5380" max="5601" width="9" style="932"/>
    <col min="5602" max="5606" width="9" style="932" customWidth="1"/>
    <col min="5607" max="5607" width="5.42578125" style="932" customWidth="1"/>
    <col min="5608" max="5610" width="9" style="932" customWidth="1"/>
    <col min="5611" max="5611" width="5.42578125" style="932" customWidth="1"/>
    <col min="5612" max="5614" width="9" style="932" customWidth="1"/>
    <col min="5615" max="5615" width="5.42578125" style="932" customWidth="1"/>
    <col min="5616" max="5618" width="9" style="932" customWidth="1"/>
    <col min="5619" max="5619" width="5.42578125" style="932" customWidth="1"/>
    <col min="5620" max="5622" width="9" style="932" customWidth="1"/>
    <col min="5623" max="5623" width="5.42578125" style="932" customWidth="1"/>
    <col min="5624" max="5626" width="9" style="932" customWidth="1"/>
    <col min="5627" max="5627" width="5.42578125" style="932" customWidth="1"/>
    <col min="5628" max="5630" width="9" style="932" customWidth="1"/>
    <col min="5631" max="5631" width="5.42578125" style="932" customWidth="1"/>
    <col min="5632" max="5634" width="9" style="932" customWidth="1"/>
    <col min="5635" max="5635" width="5.42578125" style="932" customWidth="1"/>
    <col min="5636" max="5857" width="9" style="932"/>
    <col min="5858" max="5862" width="9" style="932" customWidth="1"/>
    <col min="5863" max="5863" width="5.42578125" style="932" customWidth="1"/>
    <col min="5864" max="5866" width="9" style="932" customWidth="1"/>
    <col min="5867" max="5867" width="5.42578125" style="932" customWidth="1"/>
    <col min="5868" max="5870" width="9" style="932" customWidth="1"/>
    <col min="5871" max="5871" width="5.42578125" style="932" customWidth="1"/>
    <col min="5872" max="5874" width="9" style="932" customWidth="1"/>
    <col min="5875" max="5875" width="5.42578125" style="932" customWidth="1"/>
    <col min="5876" max="5878" width="9" style="932" customWidth="1"/>
    <col min="5879" max="5879" width="5.42578125" style="932" customWidth="1"/>
    <col min="5880" max="5882" width="9" style="932" customWidth="1"/>
    <col min="5883" max="5883" width="5.42578125" style="932" customWidth="1"/>
    <col min="5884" max="5886" width="9" style="932" customWidth="1"/>
    <col min="5887" max="5887" width="5.42578125" style="932" customWidth="1"/>
    <col min="5888" max="5890" width="9" style="932" customWidth="1"/>
    <col min="5891" max="5891" width="5.42578125" style="932" customWidth="1"/>
    <col min="5892" max="6113" width="9" style="932"/>
    <col min="6114" max="6118" width="9" style="932" customWidth="1"/>
    <col min="6119" max="6119" width="5.42578125" style="932" customWidth="1"/>
    <col min="6120" max="6122" width="9" style="932" customWidth="1"/>
    <col min="6123" max="6123" width="5.42578125" style="932" customWidth="1"/>
    <col min="6124" max="6126" width="9" style="932" customWidth="1"/>
    <col min="6127" max="6127" width="5.42578125" style="932" customWidth="1"/>
    <col min="6128" max="6130" width="9" style="932" customWidth="1"/>
    <col min="6131" max="6131" width="5.42578125" style="932" customWidth="1"/>
    <col min="6132" max="6134" width="9" style="932" customWidth="1"/>
    <col min="6135" max="6135" width="5.42578125" style="932" customWidth="1"/>
    <col min="6136" max="6138" width="9" style="932" customWidth="1"/>
    <col min="6139" max="6139" width="5.42578125" style="932" customWidth="1"/>
    <col min="6140" max="6142" width="9" style="932" customWidth="1"/>
    <col min="6143" max="6143" width="5.42578125" style="932" customWidth="1"/>
    <col min="6144" max="6146" width="9" style="932" customWidth="1"/>
    <col min="6147" max="6147" width="5.42578125" style="932" customWidth="1"/>
    <col min="6148" max="6369" width="9" style="932"/>
    <col min="6370" max="6374" width="9" style="932" customWidth="1"/>
    <col min="6375" max="6375" width="5.42578125" style="932" customWidth="1"/>
    <col min="6376" max="6378" width="9" style="932" customWidth="1"/>
    <col min="6379" max="6379" width="5.42578125" style="932" customWidth="1"/>
    <col min="6380" max="6382" width="9" style="932" customWidth="1"/>
    <col min="6383" max="6383" width="5.42578125" style="932" customWidth="1"/>
    <col min="6384" max="6386" width="9" style="932" customWidth="1"/>
    <col min="6387" max="6387" width="5.42578125" style="932" customWidth="1"/>
    <col min="6388" max="6390" width="9" style="932" customWidth="1"/>
    <col min="6391" max="6391" width="5.42578125" style="932" customWidth="1"/>
    <col min="6392" max="6394" width="9" style="932" customWidth="1"/>
    <col min="6395" max="6395" width="5.42578125" style="932" customWidth="1"/>
    <col min="6396" max="6398" width="9" style="932" customWidth="1"/>
    <col min="6399" max="6399" width="5.42578125" style="932" customWidth="1"/>
    <col min="6400" max="6402" width="9" style="932" customWidth="1"/>
    <col min="6403" max="6403" width="5.42578125" style="932" customWidth="1"/>
    <col min="6404" max="6625" width="9" style="932"/>
    <col min="6626" max="6630" width="9" style="932" customWidth="1"/>
    <col min="6631" max="6631" width="5.42578125" style="932" customWidth="1"/>
    <col min="6632" max="6634" width="9" style="932" customWidth="1"/>
    <col min="6635" max="6635" width="5.42578125" style="932" customWidth="1"/>
    <col min="6636" max="6638" width="9" style="932" customWidth="1"/>
    <col min="6639" max="6639" width="5.42578125" style="932" customWidth="1"/>
    <col min="6640" max="6642" width="9" style="932" customWidth="1"/>
    <col min="6643" max="6643" width="5.42578125" style="932" customWidth="1"/>
    <col min="6644" max="6646" width="9" style="932" customWidth="1"/>
    <col min="6647" max="6647" width="5.42578125" style="932" customWidth="1"/>
    <col min="6648" max="6650" width="9" style="932" customWidth="1"/>
    <col min="6651" max="6651" width="5.42578125" style="932" customWidth="1"/>
    <col min="6652" max="6654" width="9" style="932" customWidth="1"/>
    <col min="6655" max="6655" width="5.42578125" style="932" customWidth="1"/>
    <col min="6656" max="6658" width="9" style="932" customWidth="1"/>
    <col min="6659" max="6659" width="5.42578125" style="932" customWidth="1"/>
    <col min="6660" max="6881" width="9" style="932"/>
    <col min="6882" max="6886" width="9" style="932" customWidth="1"/>
    <col min="6887" max="6887" width="5.42578125" style="932" customWidth="1"/>
    <col min="6888" max="6890" width="9" style="932" customWidth="1"/>
    <col min="6891" max="6891" width="5.42578125" style="932" customWidth="1"/>
    <col min="6892" max="6894" width="9" style="932" customWidth="1"/>
    <col min="6895" max="6895" width="5.42578125" style="932" customWidth="1"/>
    <col min="6896" max="6898" width="9" style="932" customWidth="1"/>
    <col min="6899" max="6899" width="5.42578125" style="932" customWidth="1"/>
    <col min="6900" max="6902" width="9" style="932" customWidth="1"/>
    <col min="6903" max="6903" width="5.42578125" style="932" customWidth="1"/>
    <col min="6904" max="6906" width="9" style="932" customWidth="1"/>
    <col min="6907" max="6907" width="5.42578125" style="932" customWidth="1"/>
    <col min="6908" max="6910" width="9" style="932" customWidth="1"/>
    <col min="6911" max="6911" width="5.42578125" style="932" customWidth="1"/>
    <col min="6912" max="6914" width="9" style="932" customWidth="1"/>
    <col min="6915" max="6915" width="5.42578125" style="932" customWidth="1"/>
    <col min="6916" max="7137" width="9" style="932"/>
    <col min="7138" max="7142" width="9" style="932" customWidth="1"/>
    <col min="7143" max="7143" width="5.42578125" style="932" customWidth="1"/>
    <col min="7144" max="7146" width="9" style="932" customWidth="1"/>
    <col min="7147" max="7147" width="5.42578125" style="932" customWidth="1"/>
    <col min="7148" max="7150" width="9" style="932" customWidth="1"/>
    <col min="7151" max="7151" width="5.42578125" style="932" customWidth="1"/>
    <col min="7152" max="7154" width="9" style="932" customWidth="1"/>
    <col min="7155" max="7155" width="5.42578125" style="932" customWidth="1"/>
    <col min="7156" max="7158" width="9" style="932" customWidth="1"/>
    <col min="7159" max="7159" width="5.42578125" style="932" customWidth="1"/>
    <col min="7160" max="7162" width="9" style="932" customWidth="1"/>
    <col min="7163" max="7163" width="5.42578125" style="932" customWidth="1"/>
    <col min="7164" max="7166" width="9" style="932" customWidth="1"/>
    <col min="7167" max="7167" width="5.42578125" style="932" customWidth="1"/>
    <col min="7168" max="7170" width="9" style="932" customWidth="1"/>
    <col min="7171" max="7171" width="5.42578125" style="932" customWidth="1"/>
    <col min="7172" max="7393" width="9" style="932"/>
    <col min="7394" max="7398" width="9" style="932" customWidth="1"/>
    <col min="7399" max="7399" width="5.42578125" style="932" customWidth="1"/>
    <col min="7400" max="7402" width="9" style="932" customWidth="1"/>
    <col min="7403" max="7403" width="5.42578125" style="932" customWidth="1"/>
    <col min="7404" max="7406" width="9" style="932" customWidth="1"/>
    <col min="7407" max="7407" width="5.42578125" style="932" customWidth="1"/>
    <col min="7408" max="7410" width="9" style="932" customWidth="1"/>
    <col min="7411" max="7411" width="5.42578125" style="932" customWidth="1"/>
    <col min="7412" max="7414" width="9" style="932" customWidth="1"/>
    <col min="7415" max="7415" width="5.42578125" style="932" customWidth="1"/>
    <col min="7416" max="7418" width="9" style="932" customWidth="1"/>
    <col min="7419" max="7419" width="5.42578125" style="932" customWidth="1"/>
    <col min="7420" max="7422" width="9" style="932" customWidth="1"/>
    <col min="7423" max="7423" width="5.42578125" style="932" customWidth="1"/>
    <col min="7424" max="7426" width="9" style="932" customWidth="1"/>
    <col min="7427" max="7427" width="5.42578125" style="932" customWidth="1"/>
    <col min="7428" max="7649" width="9" style="932"/>
    <col min="7650" max="7654" width="9" style="932" customWidth="1"/>
    <col min="7655" max="7655" width="5.42578125" style="932" customWidth="1"/>
    <col min="7656" max="7658" width="9" style="932" customWidth="1"/>
    <col min="7659" max="7659" width="5.42578125" style="932" customWidth="1"/>
    <col min="7660" max="7662" width="9" style="932" customWidth="1"/>
    <col min="7663" max="7663" width="5.42578125" style="932" customWidth="1"/>
    <col min="7664" max="7666" width="9" style="932" customWidth="1"/>
    <col min="7667" max="7667" width="5.42578125" style="932" customWidth="1"/>
    <col min="7668" max="7670" width="9" style="932" customWidth="1"/>
    <col min="7671" max="7671" width="5.42578125" style="932" customWidth="1"/>
    <col min="7672" max="7674" width="9" style="932" customWidth="1"/>
    <col min="7675" max="7675" width="5.42578125" style="932" customWidth="1"/>
    <col min="7676" max="7678" width="9" style="932" customWidth="1"/>
    <col min="7679" max="7679" width="5.42578125" style="932" customWidth="1"/>
    <col min="7680" max="7682" width="9" style="932" customWidth="1"/>
    <col min="7683" max="7683" width="5.42578125" style="932" customWidth="1"/>
    <col min="7684" max="7905" width="9" style="932"/>
    <col min="7906" max="7910" width="9" style="932" customWidth="1"/>
    <col min="7911" max="7911" width="5.42578125" style="932" customWidth="1"/>
    <col min="7912" max="7914" width="9" style="932" customWidth="1"/>
    <col min="7915" max="7915" width="5.42578125" style="932" customWidth="1"/>
    <col min="7916" max="7918" width="9" style="932" customWidth="1"/>
    <col min="7919" max="7919" width="5.42578125" style="932" customWidth="1"/>
    <col min="7920" max="7922" width="9" style="932" customWidth="1"/>
    <col min="7923" max="7923" width="5.42578125" style="932" customWidth="1"/>
    <col min="7924" max="7926" width="9" style="932" customWidth="1"/>
    <col min="7927" max="7927" width="5.42578125" style="932" customWidth="1"/>
    <col min="7928" max="7930" width="9" style="932" customWidth="1"/>
    <col min="7931" max="7931" width="5.42578125" style="932" customWidth="1"/>
    <col min="7932" max="7934" width="9" style="932" customWidth="1"/>
    <col min="7935" max="7935" width="5.42578125" style="932" customWidth="1"/>
    <col min="7936" max="7938" width="9" style="932" customWidth="1"/>
    <col min="7939" max="7939" width="5.42578125" style="932" customWidth="1"/>
    <col min="7940" max="8161" width="9" style="932"/>
    <col min="8162" max="8166" width="9" style="932" customWidth="1"/>
    <col min="8167" max="8167" width="5.42578125" style="932" customWidth="1"/>
    <col min="8168" max="8170" width="9" style="932" customWidth="1"/>
    <col min="8171" max="8171" width="5.42578125" style="932" customWidth="1"/>
    <col min="8172" max="8174" width="9" style="932" customWidth="1"/>
    <col min="8175" max="8175" width="5.42578125" style="932" customWidth="1"/>
    <col min="8176" max="8178" width="9" style="932" customWidth="1"/>
    <col min="8179" max="8179" width="5.42578125" style="932" customWidth="1"/>
    <col min="8180" max="8182" width="9" style="932" customWidth="1"/>
    <col min="8183" max="8183" width="5.42578125" style="932" customWidth="1"/>
    <col min="8184" max="8186" width="9" style="932" customWidth="1"/>
    <col min="8187" max="8187" width="5.42578125" style="932" customWidth="1"/>
    <col min="8188" max="8190" width="9" style="932" customWidth="1"/>
    <col min="8191" max="8191" width="5.42578125" style="932" customWidth="1"/>
    <col min="8192" max="8194" width="9" style="932" customWidth="1"/>
    <col min="8195" max="8195" width="5.42578125" style="932" customWidth="1"/>
    <col min="8196" max="8417" width="9" style="932"/>
    <col min="8418" max="8422" width="9" style="932" customWidth="1"/>
    <col min="8423" max="8423" width="5.42578125" style="932" customWidth="1"/>
    <col min="8424" max="8426" width="9" style="932" customWidth="1"/>
    <col min="8427" max="8427" width="5.42578125" style="932" customWidth="1"/>
    <col min="8428" max="8430" width="9" style="932" customWidth="1"/>
    <col min="8431" max="8431" width="5.42578125" style="932" customWidth="1"/>
    <col min="8432" max="8434" width="9" style="932" customWidth="1"/>
    <col min="8435" max="8435" width="5.42578125" style="932" customWidth="1"/>
    <col min="8436" max="8438" width="9" style="932" customWidth="1"/>
    <col min="8439" max="8439" width="5.42578125" style="932" customWidth="1"/>
    <col min="8440" max="8442" width="9" style="932" customWidth="1"/>
    <col min="8443" max="8443" width="5.42578125" style="932" customWidth="1"/>
    <col min="8444" max="8446" width="9" style="932" customWidth="1"/>
    <col min="8447" max="8447" width="5.42578125" style="932" customWidth="1"/>
    <col min="8448" max="8450" width="9" style="932" customWidth="1"/>
    <col min="8451" max="8451" width="5.42578125" style="932" customWidth="1"/>
    <col min="8452" max="8673" width="9" style="932"/>
    <col min="8674" max="8678" width="9" style="932" customWidth="1"/>
    <col min="8679" max="8679" width="5.42578125" style="932" customWidth="1"/>
    <col min="8680" max="8682" width="9" style="932" customWidth="1"/>
    <col min="8683" max="8683" width="5.42578125" style="932" customWidth="1"/>
    <col min="8684" max="8686" width="9" style="932" customWidth="1"/>
    <col min="8687" max="8687" width="5.42578125" style="932" customWidth="1"/>
    <col min="8688" max="8690" width="9" style="932" customWidth="1"/>
    <col min="8691" max="8691" width="5.42578125" style="932" customWidth="1"/>
    <col min="8692" max="8694" width="9" style="932" customWidth="1"/>
    <col min="8695" max="8695" width="5.42578125" style="932" customWidth="1"/>
    <col min="8696" max="8698" width="9" style="932" customWidth="1"/>
    <col min="8699" max="8699" width="5.42578125" style="932" customWidth="1"/>
    <col min="8700" max="8702" width="9" style="932" customWidth="1"/>
    <col min="8703" max="8703" width="5.42578125" style="932" customWidth="1"/>
    <col min="8704" max="8706" width="9" style="932" customWidth="1"/>
    <col min="8707" max="8707" width="5.42578125" style="932" customWidth="1"/>
    <col min="8708" max="8929" width="9" style="932"/>
    <col min="8930" max="8934" width="9" style="932" customWidth="1"/>
    <col min="8935" max="8935" width="5.42578125" style="932" customWidth="1"/>
    <col min="8936" max="8938" width="9" style="932" customWidth="1"/>
    <col min="8939" max="8939" width="5.42578125" style="932" customWidth="1"/>
    <col min="8940" max="8942" width="9" style="932" customWidth="1"/>
    <col min="8943" max="8943" width="5.42578125" style="932" customWidth="1"/>
    <col min="8944" max="8946" width="9" style="932" customWidth="1"/>
    <col min="8947" max="8947" width="5.42578125" style="932" customWidth="1"/>
    <col min="8948" max="8950" width="9" style="932" customWidth="1"/>
    <col min="8951" max="8951" width="5.42578125" style="932" customWidth="1"/>
    <col min="8952" max="8954" width="9" style="932" customWidth="1"/>
    <col min="8955" max="8955" width="5.42578125" style="932" customWidth="1"/>
    <col min="8956" max="8958" width="9" style="932" customWidth="1"/>
    <col min="8959" max="8959" width="5.42578125" style="932" customWidth="1"/>
    <col min="8960" max="8962" width="9" style="932" customWidth="1"/>
    <col min="8963" max="8963" width="5.42578125" style="932" customWidth="1"/>
    <col min="8964" max="9185" width="9" style="932"/>
    <col min="9186" max="9190" width="9" style="932" customWidth="1"/>
    <col min="9191" max="9191" width="5.42578125" style="932" customWidth="1"/>
    <col min="9192" max="9194" width="9" style="932" customWidth="1"/>
    <col min="9195" max="9195" width="5.42578125" style="932" customWidth="1"/>
    <col min="9196" max="9198" width="9" style="932" customWidth="1"/>
    <col min="9199" max="9199" width="5.42578125" style="932" customWidth="1"/>
    <col min="9200" max="9202" width="9" style="932" customWidth="1"/>
    <col min="9203" max="9203" width="5.42578125" style="932" customWidth="1"/>
    <col min="9204" max="9206" width="9" style="932" customWidth="1"/>
    <col min="9207" max="9207" width="5.42578125" style="932" customWidth="1"/>
    <col min="9208" max="9210" width="9" style="932" customWidth="1"/>
    <col min="9211" max="9211" width="5.42578125" style="932" customWidth="1"/>
    <col min="9212" max="9214" width="9" style="932" customWidth="1"/>
    <col min="9215" max="9215" width="5.42578125" style="932" customWidth="1"/>
    <col min="9216" max="9218" width="9" style="932" customWidth="1"/>
    <col min="9219" max="9219" width="5.42578125" style="932" customWidth="1"/>
    <col min="9220" max="9441" width="9" style="932"/>
    <col min="9442" max="9446" width="9" style="932" customWidth="1"/>
    <col min="9447" max="9447" width="5.42578125" style="932" customWidth="1"/>
    <col min="9448" max="9450" width="9" style="932" customWidth="1"/>
    <col min="9451" max="9451" width="5.42578125" style="932" customWidth="1"/>
    <col min="9452" max="9454" width="9" style="932" customWidth="1"/>
    <col min="9455" max="9455" width="5.42578125" style="932" customWidth="1"/>
    <col min="9456" max="9458" width="9" style="932" customWidth="1"/>
    <col min="9459" max="9459" width="5.42578125" style="932" customWidth="1"/>
    <col min="9460" max="9462" width="9" style="932" customWidth="1"/>
    <col min="9463" max="9463" width="5.42578125" style="932" customWidth="1"/>
    <col min="9464" max="9466" width="9" style="932" customWidth="1"/>
    <col min="9467" max="9467" width="5.42578125" style="932" customWidth="1"/>
    <col min="9468" max="9470" width="9" style="932" customWidth="1"/>
    <col min="9471" max="9471" width="5.42578125" style="932" customWidth="1"/>
    <col min="9472" max="9474" width="9" style="932" customWidth="1"/>
    <col min="9475" max="9475" width="5.42578125" style="932" customWidth="1"/>
    <col min="9476" max="9697" width="9" style="932"/>
    <col min="9698" max="9702" width="9" style="932" customWidth="1"/>
    <col min="9703" max="9703" width="5.42578125" style="932" customWidth="1"/>
    <col min="9704" max="9706" width="9" style="932" customWidth="1"/>
    <col min="9707" max="9707" width="5.42578125" style="932" customWidth="1"/>
    <col min="9708" max="9710" width="9" style="932" customWidth="1"/>
    <col min="9711" max="9711" width="5.42578125" style="932" customWidth="1"/>
    <col min="9712" max="9714" width="9" style="932" customWidth="1"/>
    <col min="9715" max="9715" width="5.42578125" style="932" customWidth="1"/>
    <col min="9716" max="9718" width="9" style="932" customWidth="1"/>
    <col min="9719" max="9719" width="5.42578125" style="932" customWidth="1"/>
    <col min="9720" max="9722" width="9" style="932" customWidth="1"/>
    <col min="9723" max="9723" width="5.42578125" style="932" customWidth="1"/>
    <col min="9724" max="9726" width="9" style="932" customWidth="1"/>
    <col min="9727" max="9727" width="5.42578125" style="932" customWidth="1"/>
    <col min="9728" max="9730" width="9" style="932" customWidth="1"/>
    <col min="9731" max="9731" width="5.42578125" style="932" customWidth="1"/>
    <col min="9732" max="9953" width="9" style="932"/>
    <col min="9954" max="9958" width="9" style="932" customWidth="1"/>
    <col min="9959" max="9959" width="5.42578125" style="932" customWidth="1"/>
    <col min="9960" max="9962" width="9" style="932" customWidth="1"/>
    <col min="9963" max="9963" width="5.42578125" style="932" customWidth="1"/>
    <col min="9964" max="9966" width="9" style="932" customWidth="1"/>
    <col min="9967" max="9967" width="5.42578125" style="932" customWidth="1"/>
    <col min="9968" max="9970" width="9" style="932" customWidth="1"/>
    <col min="9971" max="9971" width="5.42578125" style="932" customWidth="1"/>
    <col min="9972" max="9974" width="9" style="932" customWidth="1"/>
    <col min="9975" max="9975" width="5.42578125" style="932" customWidth="1"/>
    <col min="9976" max="9978" width="9" style="932" customWidth="1"/>
    <col min="9979" max="9979" width="5.42578125" style="932" customWidth="1"/>
    <col min="9980" max="9982" width="9" style="932" customWidth="1"/>
    <col min="9983" max="9983" width="5.42578125" style="932" customWidth="1"/>
    <col min="9984" max="9986" width="9" style="932" customWidth="1"/>
    <col min="9987" max="9987" width="5.42578125" style="932" customWidth="1"/>
    <col min="9988" max="10209" width="9" style="932"/>
    <col min="10210" max="10214" width="9" style="932" customWidth="1"/>
    <col min="10215" max="10215" width="5.42578125" style="932" customWidth="1"/>
    <col min="10216" max="10218" width="9" style="932" customWidth="1"/>
    <col min="10219" max="10219" width="5.42578125" style="932" customWidth="1"/>
    <col min="10220" max="10222" width="9" style="932" customWidth="1"/>
    <col min="10223" max="10223" width="5.42578125" style="932" customWidth="1"/>
    <col min="10224" max="10226" width="9" style="932" customWidth="1"/>
    <col min="10227" max="10227" width="5.42578125" style="932" customWidth="1"/>
    <col min="10228" max="10230" width="9" style="932" customWidth="1"/>
    <col min="10231" max="10231" width="5.42578125" style="932" customWidth="1"/>
    <col min="10232" max="10234" width="9" style="932" customWidth="1"/>
    <col min="10235" max="10235" width="5.42578125" style="932" customWidth="1"/>
    <col min="10236" max="10238" width="9" style="932" customWidth="1"/>
    <col min="10239" max="10239" width="5.42578125" style="932" customWidth="1"/>
    <col min="10240" max="10242" width="9" style="932" customWidth="1"/>
    <col min="10243" max="10243" width="5.42578125" style="932" customWidth="1"/>
    <col min="10244" max="10465" width="9" style="932"/>
    <col min="10466" max="10470" width="9" style="932" customWidth="1"/>
    <col min="10471" max="10471" width="5.42578125" style="932" customWidth="1"/>
    <col min="10472" max="10474" width="9" style="932" customWidth="1"/>
    <col min="10475" max="10475" width="5.42578125" style="932" customWidth="1"/>
    <col min="10476" max="10478" width="9" style="932" customWidth="1"/>
    <col min="10479" max="10479" width="5.42578125" style="932" customWidth="1"/>
    <col min="10480" max="10482" width="9" style="932" customWidth="1"/>
    <col min="10483" max="10483" width="5.42578125" style="932" customWidth="1"/>
    <col min="10484" max="10486" width="9" style="932" customWidth="1"/>
    <col min="10487" max="10487" width="5.42578125" style="932" customWidth="1"/>
    <col min="10488" max="10490" width="9" style="932" customWidth="1"/>
    <col min="10491" max="10491" width="5.42578125" style="932" customWidth="1"/>
    <col min="10492" max="10494" width="9" style="932" customWidth="1"/>
    <col min="10495" max="10495" width="5.42578125" style="932" customWidth="1"/>
    <col min="10496" max="10498" width="9" style="932" customWidth="1"/>
    <col min="10499" max="10499" width="5.42578125" style="932" customWidth="1"/>
    <col min="10500" max="10721" width="9" style="932"/>
    <col min="10722" max="10726" width="9" style="932" customWidth="1"/>
    <col min="10727" max="10727" width="5.42578125" style="932" customWidth="1"/>
    <col min="10728" max="10730" width="9" style="932" customWidth="1"/>
    <col min="10731" max="10731" width="5.42578125" style="932" customWidth="1"/>
    <col min="10732" max="10734" width="9" style="932" customWidth="1"/>
    <col min="10735" max="10735" width="5.42578125" style="932" customWidth="1"/>
    <col min="10736" max="10738" width="9" style="932" customWidth="1"/>
    <col min="10739" max="10739" width="5.42578125" style="932" customWidth="1"/>
    <col min="10740" max="10742" width="9" style="932" customWidth="1"/>
    <col min="10743" max="10743" width="5.42578125" style="932" customWidth="1"/>
    <col min="10744" max="10746" width="9" style="932" customWidth="1"/>
    <col min="10747" max="10747" width="5.42578125" style="932" customWidth="1"/>
    <col min="10748" max="10750" width="9" style="932" customWidth="1"/>
    <col min="10751" max="10751" width="5.42578125" style="932" customWidth="1"/>
    <col min="10752" max="10754" width="9" style="932" customWidth="1"/>
    <col min="10755" max="10755" width="5.42578125" style="932" customWidth="1"/>
    <col min="10756" max="10977" width="9" style="932"/>
    <col min="10978" max="10982" width="9" style="932" customWidth="1"/>
    <col min="10983" max="10983" width="5.42578125" style="932" customWidth="1"/>
    <col min="10984" max="10986" width="9" style="932" customWidth="1"/>
    <col min="10987" max="10987" width="5.42578125" style="932" customWidth="1"/>
    <col min="10988" max="10990" width="9" style="932" customWidth="1"/>
    <col min="10991" max="10991" width="5.42578125" style="932" customWidth="1"/>
    <col min="10992" max="10994" width="9" style="932" customWidth="1"/>
    <col min="10995" max="10995" width="5.42578125" style="932" customWidth="1"/>
    <col min="10996" max="10998" width="9" style="932" customWidth="1"/>
    <col min="10999" max="10999" width="5.42578125" style="932" customWidth="1"/>
    <col min="11000" max="11002" width="9" style="932" customWidth="1"/>
    <col min="11003" max="11003" width="5.42578125" style="932" customWidth="1"/>
    <col min="11004" max="11006" width="9" style="932" customWidth="1"/>
    <col min="11007" max="11007" width="5.42578125" style="932" customWidth="1"/>
    <col min="11008" max="11010" width="9" style="932" customWidth="1"/>
    <col min="11011" max="11011" width="5.42578125" style="932" customWidth="1"/>
    <col min="11012" max="11233" width="9" style="932"/>
    <col min="11234" max="11238" width="9" style="932" customWidth="1"/>
    <col min="11239" max="11239" width="5.42578125" style="932" customWidth="1"/>
    <col min="11240" max="11242" width="9" style="932" customWidth="1"/>
    <col min="11243" max="11243" width="5.42578125" style="932" customWidth="1"/>
    <col min="11244" max="11246" width="9" style="932" customWidth="1"/>
    <col min="11247" max="11247" width="5.42578125" style="932" customWidth="1"/>
    <col min="11248" max="11250" width="9" style="932" customWidth="1"/>
    <col min="11251" max="11251" width="5.42578125" style="932" customWidth="1"/>
    <col min="11252" max="11254" width="9" style="932" customWidth="1"/>
    <col min="11255" max="11255" width="5.42578125" style="932" customWidth="1"/>
    <col min="11256" max="11258" width="9" style="932" customWidth="1"/>
    <col min="11259" max="11259" width="5.42578125" style="932" customWidth="1"/>
    <col min="11260" max="11262" width="9" style="932" customWidth="1"/>
    <col min="11263" max="11263" width="5.42578125" style="932" customWidth="1"/>
    <col min="11264" max="11266" width="9" style="932" customWidth="1"/>
    <col min="11267" max="11267" width="5.42578125" style="932" customWidth="1"/>
    <col min="11268" max="11489" width="9" style="932"/>
    <col min="11490" max="11494" width="9" style="932" customWidth="1"/>
    <col min="11495" max="11495" width="5.42578125" style="932" customWidth="1"/>
    <col min="11496" max="11498" width="9" style="932" customWidth="1"/>
    <col min="11499" max="11499" width="5.42578125" style="932" customWidth="1"/>
    <col min="11500" max="11502" width="9" style="932" customWidth="1"/>
    <col min="11503" max="11503" width="5.42578125" style="932" customWidth="1"/>
    <col min="11504" max="11506" width="9" style="932" customWidth="1"/>
    <col min="11507" max="11507" width="5.42578125" style="932" customWidth="1"/>
    <col min="11508" max="11510" width="9" style="932" customWidth="1"/>
    <col min="11511" max="11511" width="5.42578125" style="932" customWidth="1"/>
    <col min="11512" max="11514" width="9" style="932" customWidth="1"/>
    <col min="11515" max="11515" width="5.42578125" style="932" customWidth="1"/>
    <col min="11516" max="11518" width="9" style="932" customWidth="1"/>
    <col min="11519" max="11519" width="5.42578125" style="932" customWidth="1"/>
    <col min="11520" max="11522" width="9" style="932" customWidth="1"/>
    <col min="11523" max="11523" width="5.42578125" style="932" customWidth="1"/>
    <col min="11524" max="11745" width="9" style="932"/>
    <col min="11746" max="11750" width="9" style="932" customWidth="1"/>
    <col min="11751" max="11751" width="5.42578125" style="932" customWidth="1"/>
    <col min="11752" max="11754" width="9" style="932" customWidth="1"/>
    <col min="11755" max="11755" width="5.42578125" style="932" customWidth="1"/>
    <col min="11756" max="11758" width="9" style="932" customWidth="1"/>
    <col min="11759" max="11759" width="5.42578125" style="932" customWidth="1"/>
    <col min="11760" max="11762" width="9" style="932" customWidth="1"/>
    <col min="11763" max="11763" width="5.42578125" style="932" customWidth="1"/>
    <col min="11764" max="11766" width="9" style="932" customWidth="1"/>
    <col min="11767" max="11767" width="5.42578125" style="932" customWidth="1"/>
    <col min="11768" max="11770" width="9" style="932" customWidth="1"/>
    <col min="11771" max="11771" width="5.42578125" style="932" customWidth="1"/>
    <col min="11772" max="11774" width="9" style="932" customWidth="1"/>
    <col min="11775" max="11775" width="5.42578125" style="932" customWidth="1"/>
    <col min="11776" max="11778" width="9" style="932" customWidth="1"/>
    <col min="11779" max="11779" width="5.42578125" style="932" customWidth="1"/>
    <col min="11780" max="12001" width="9" style="932"/>
    <col min="12002" max="12006" width="9" style="932" customWidth="1"/>
    <col min="12007" max="12007" width="5.42578125" style="932" customWidth="1"/>
    <col min="12008" max="12010" width="9" style="932" customWidth="1"/>
    <col min="12011" max="12011" width="5.42578125" style="932" customWidth="1"/>
    <col min="12012" max="12014" width="9" style="932" customWidth="1"/>
    <col min="12015" max="12015" width="5.42578125" style="932" customWidth="1"/>
    <col min="12016" max="12018" width="9" style="932" customWidth="1"/>
    <col min="12019" max="12019" width="5.42578125" style="932" customWidth="1"/>
    <col min="12020" max="12022" width="9" style="932" customWidth="1"/>
    <col min="12023" max="12023" width="5.42578125" style="932" customWidth="1"/>
    <col min="12024" max="12026" width="9" style="932" customWidth="1"/>
    <col min="12027" max="12027" width="5.42578125" style="932" customWidth="1"/>
    <col min="12028" max="12030" width="9" style="932" customWidth="1"/>
    <col min="12031" max="12031" width="5.42578125" style="932" customWidth="1"/>
    <col min="12032" max="12034" width="9" style="932" customWidth="1"/>
    <col min="12035" max="12035" width="5.42578125" style="932" customWidth="1"/>
    <col min="12036" max="12257" width="9" style="932"/>
    <col min="12258" max="12262" width="9" style="932" customWidth="1"/>
    <col min="12263" max="12263" width="5.42578125" style="932" customWidth="1"/>
    <col min="12264" max="12266" width="9" style="932" customWidth="1"/>
    <col min="12267" max="12267" width="5.42578125" style="932" customWidth="1"/>
    <col min="12268" max="12270" width="9" style="932" customWidth="1"/>
    <col min="12271" max="12271" width="5.42578125" style="932" customWidth="1"/>
    <col min="12272" max="12274" width="9" style="932" customWidth="1"/>
    <col min="12275" max="12275" width="5.42578125" style="932" customWidth="1"/>
    <col min="12276" max="12278" width="9" style="932" customWidth="1"/>
    <col min="12279" max="12279" width="5.42578125" style="932" customWidth="1"/>
    <col min="12280" max="12282" width="9" style="932" customWidth="1"/>
    <col min="12283" max="12283" width="5.42578125" style="932" customWidth="1"/>
    <col min="12284" max="12286" width="9" style="932" customWidth="1"/>
    <col min="12287" max="12287" width="5.42578125" style="932" customWidth="1"/>
    <col min="12288" max="12290" width="9" style="932" customWidth="1"/>
    <col min="12291" max="12291" width="5.42578125" style="932" customWidth="1"/>
    <col min="12292" max="12513" width="9" style="932"/>
    <col min="12514" max="12518" width="9" style="932" customWidth="1"/>
    <col min="12519" max="12519" width="5.42578125" style="932" customWidth="1"/>
    <col min="12520" max="12522" width="9" style="932" customWidth="1"/>
    <col min="12523" max="12523" width="5.42578125" style="932" customWidth="1"/>
    <col min="12524" max="12526" width="9" style="932" customWidth="1"/>
    <col min="12527" max="12527" width="5.42578125" style="932" customWidth="1"/>
    <col min="12528" max="12530" width="9" style="932" customWidth="1"/>
    <col min="12531" max="12531" width="5.42578125" style="932" customWidth="1"/>
    <col min="12532" max="12534" width="9" style="932" customWidth="1"/>
    <col min="12535" max="12535" width="5.42578125" style="932" customWidth="1"/>
    <col min="12536" max="12538" width="9" style="932" customWidth="1"/>
    <col min="12539" max="12539" width="5.42578125" style="932" customWidth="1"/>
    <col min="12540" max="12542" width="9" style="932" customWidth="1"/>
    <col min="12543" max="12543" width="5.42578125" style="932" customWidth="1"/>
    <col min="12544" max="12546" width="9" style="932" customWidth="1"/>
    <col min="12547" max="12547" width="5.42578125" style="932" customWidth="1"/>
    <col min="12548" max="12769" width="9" style="932"/>
    <col min="12770" max="12774" width="9" style="932" customWidth="1"/>
    <col min="12775" max="12775" width="5.42578125" style="932" customWidth="1"/>
    <col min="12776" max="12778" width="9" style="932" customWidth="1"/>
    <col min="12779" max="12779" width="5.42578125" style="932" customWidth="1"/>
    <col min="12780" max="12782" width="9" style="932" customWidth="1"/>
    <col min="12783" max="12783" width="5.42578125" style="932" customWidth="1"/>
    <col min="12784" max="12786" width="9" style="932" customWidth="1"/>
    <col min="12787" max="12787" width="5.42578125" style="932" customWidth="1"/>
    <col min="12788" max="12790" width="9" style="932" customWidth="1"/>
    <col min="12791" max="12791" width="5.42578125" style="932" customWidth="1"/>
    <col min="12792" max="12794" width="9" style="932" customWidth="1"/>
    <col min="12795" max="12795" width="5.42578125" style="932" customWidth="1"/>
    <col min="12796" max="12798" width="9" style="932" customWidth="1"/>
    <col min="12799" max="12799" width="5.42578125" style="932" customWidth="1"/>
    <col min="12800" max="12802" width="9" style="932" customWidth="1"/>
    <col min="12803" max="12803" width="5.42578125" style="932" customWidth="1"/>
    <col min="12804" max="13025" width="9" style="932"/>
    <col min="13026" max="13030" width="9" style="932" customWidth="1"/>
    <col min="13031" max="13031" width="5.42578125" style="932" customWidth="1"/>
    <col min="13032" max="13034" width="9" style="932" customWidth="1"/>
    <col min="13035" max="13035" width="5.42578125" style="932" customWidth="1"/>
    <col min="13036" max="13038" width="9" style="932" customWidth="1"/>
    <col min="13039" max="13039" width="5.42578125" style="932" customWidth="1"/>
    <col min="13040" max="13042" width="9" style="932" customWidth="1"/>
    <col min="13043" max="13043" width="5.42578125" style="932" customWidth="1"/>
    <col min="13044" max="13046" width="9" style="932" customWidth="1"/>
    <col min="13047" max="13047" width="5.42578125" style="932" customWidth="1"/>
    <col min="13048" max="13050" width="9" style="932" customWidth="1"/>
    <col min="13051" max="13051" width="5.42578125" style="932" customWidth="1"/>
    <col min="13052" max="13054" width="9" style="932" customWidth="1"/>
    <col min="13055" max="13055" width="5.42578125" style="932" customWidth="1"/>
    <col min="13056" max="13058" width="9" style="932" customWidth="1"/>
    <col min="13059" max="13059" width="5.42578125" style="932" customWidth="1"/>
    <col min="13060" max="13281" width="9" style="932"/>
    <col min="13282" max="13286" width="9" style="932" customWidth="1"/>
    <col min="13287" max="13287" width="5.42578125" style="932" customWidth="1"/>
    <col min="13288" max="13290" width="9" style="932" customWidth="1"/>
    <col min="13291" max="13291" width="5.42578125" style="932" customWidth="1"/>
    <col min="13292" max="13294" width="9" style="932" customWidth="1"/>
    <col min="13295" max="13295" width="5.42578125" style="932" customWidth="1"/>
    <col min="13296" max="13298" width="9" style="932" customWidth="1"/>
    <col min="13299" max="13299" width="5.42578125" style="932" customWidth="1"/>
    <col min="13300" max="13302" width="9" style="932" customWidth="1"/>
    <col min="13303" max="13303" width="5.42578125" style="932" customWidth="1"/>
    <col min="13304" max="13306" width="9" style="932" customWidth="1"/>
    <col min="13307" max="13307" width="5.42578125" style="932" customWidth="1"/>
    <col min="13308" max="13310" width="9" style="932" customWidth="1"/>
    <col min="13311" max="13311" width="5.42578125" style="932" customWidth="1"/>
    <col min="13312" max="13314" width="9" style="932" customWidth="1"/>
    <col min="13315" max="13315" width="5.42578125" style="932" customWidth="1"/>
    <col min="13316" max="13537" width="9" style="932"/>
    <col min="13538" max="13542" width="9" style="932" customWidth="1"/>
    <col min="13543" max="13543" width="5.42578125" style="932" customWidth="1"/>
    <col min="13544" max="13546" width="9" style="932" customWidth="1"/>
    <col min="13547" max="13547" width="5.42578125" style="932" customWidth="1"/>
    <col min="13548" max="13550" width="9" style="932" customWidth="1"/>
    <col min="13551" max="13551" width="5.42578125" style="932" customWidth="1"/>
    <col min="13552" max="13554" width="9" style="932" customWidth="1"/>
    <col min="13555" max="13555" width="5.42578125" style="932" customWidth="1"/>
    <col min="13556" max="13558" width="9" style="932" customWidth="1"/>
    <col min="13559" max="13559" width="5.42578125" style="932" customWidth="1"/>
    <col min="13560" max="13562" width="9" style="932" customWidth="1"/>
    <col min="13563" max="13563" width="5.42578125" style="932" customWidth="1"/>
    <col min="13564" max="13566" width="9" style="932" customWidth="1"/>
    <col min="13567" max="13567" width="5.42578125" style="932" customWidth="1"/>
    <col min="13568" max="13570" width="9" style="932" customWidth="1"/>
    <col min="13571" max="13571" width="5.42578125" style="932" customWidth="1"/>
    <col min="13572" max="13793" width="9" style="932"/>
    <col min="13794" max="13798" width="9" style="932" customWidth="1"/>
    <col min="13799" max="13799" width="5.42578125" style="932" customWidth="1"/>
    <col min="13800" max="13802" width="9" style="932" customWidth="1"/>
    <col min="13803" max="13803" width="5.42578125" style="932" customWidth="1"/>
    <col min="13804" max="13806" width="9" style="932" customWidth="1"/>
    <col min="13807" max="13807" width="5.42578125" style="932" customWidth="1"/>
    <col min="13808" max="13810" width="9" style="932" customWidth="1"/>
    <col min="13811" max="13811" width="5.42578125" style="932" customWidth="1"/>
    <col min="13812" max="13814" width="9" style="932" customWidth="1"/>
    <col min="13815" max="13815" width="5.42578125" style="932" customWidth="1"/>
    <col min="13816" max="13818" width="9" style="932" customWidth="1"/>
    <col min="13819" max="13819" width="5.42578125" style="932" customWidth="1"/>
    <col min="13820" max="13822" width="9" style="932" customWidth="1"/>
    <col min="13823" max="13823" width="5.42578125" style="932" customWidth="1"/>
    <col min="13824" max="13826" width="9" style="932" customWidth="1"/>
    <col min="13827" max="13827" width="5.42578125" style="932" customWidth="1"/>
    <col min="13828" max="14049" width="9" style="932"/>
    <col min="14050" max="14054" width="9" style="932" customWidth="1"/>
    <col min="14055" max="14055" width="5.42578125" style="932" customWidth="1"/>
    <col min="14056" max="14058" width="9" style="932" customWidth="1"/>
    <col min="14059" max="14059" width="5.42578125" style="932" customWidth="1"/>
    <col min="14060" max="14062" width="9" style="932" customWidth="1"/>
    <col min="14063" max="14063" width="5.42578125" style="932" customWidth="1"/>
    <col min="14064" max="14066" width="9" style="932" customWidth="1"/>
    <col min="14067" max="14067" width="5.42578125" style="932" customWidth="1"/>
    <col min="14068" max="14070" width="9" style="932" customWidth="1"/>
    <col min="14071" max="14071" width="5.42578125" style="932" customWidth="1"/>
    <col min="14072" max="14074" width="9" style="932" customWidth="1"/>
    <col min="14075" max="14075" width="5.42578125" style="932" customWidth="1"/>
    <col min="14076" max="14078" width="9" style="932" customWidth="1"/>
    <col min="14079" max="14079" width="5.42578125" style="932" customWidth="1"/>
    <col min="14080" max="14082" width="9" style="932" customWidth="1"/>
    <col min="14083" max="14083" width="5.42578125" style="932" customWidth="1"/>
    <col min="14084" max="14305" width="9" style="932"/>
    <col min="14306" max="14310" width="9" style="932" customWidth="1"/>
    <col min="14311" max="14311" width="5.42578125" style="932" customWidth="1"/>
    <col min="14312" max="14314" width="9" style="932" customWidth="1"/>
    <col min="14315" max="14315" width="5.42578125" style="932" customWidth="1"/>
    <col min="14316" max="14318" width="9" style="932" customWidth="1"/>
    <col min="14319" max="14319" width="5.42578125" style="932" customWidth="1"/>
    <col min="14320" max="14322" width="9" style="932" customWidth="1"/>
    <col min="14323" max="14323" width="5.42578125" style="932" customWidth="1"/>
    <col min="14324" max="14326" width="9" style="932" customWidth="1"/>
    <col min="14327" max="14327" width="5.42578125" style="932" customWidth="1"/>
    <col min="14328" max="14330" width="9" style="932" customWidth="1"/>
    <col min="14331" max="14331" width="5.42578125" style="932" customWidth="1"/>
    <col min="14332" max="14334" width="9" style="932" customWidth="1"/>
    <col min="14335" max="14335" width="5.42578125" style="932" customWidth="1"/>
    <col min="14336" max="14338" width="9" style="932" customWidth="1"/>
    <col min="14339" max="14339" width="5.42578125" style="932" customWidth="1"/>
    <col min="14340" max="14561" width="9" style="932"/>
    <col min="14562" max="14566" width="9" style="932" customWidth="1"/>
    <col min="14567" max="14567" width="5.42578125" style="932" customWidth="1"/>
    <col min="14568" max="14570" width="9" style="932" customWidth="1"/>
    <col min="14571" max="14571" width="5.42578125" style="932" customWidth="1"/>
    <col min="14572" max="14574" width="9" style="932" customWidth="1"/>
    <col min="14575" max="14575" width="5.42578125" style="932" customWidth="1"/>
    <col min="14576" max="14578" width="9" style="932" customWidth="1"/>
    <col min="14579" max="14579" width="5.42578125" style="932" customWidth="1"/>
    <col min="14580" max="14582" width="9" style="932" customWidth="1"/>
    <col min="14583" max="14583" width="5.42578125" style="932" customWidth="1"/>
    <col min="14584" max="14586" width="9" style="932" customWidth="1"/>
    <col min="14587" max="14587" width="5.42578125" style="932" customWidth="1"/>
    <col min="14588" max="14590" width="9" style="932" customWidth="1"/>
    <col min="14591" max="14591" width="5.42578125" style="932" customWidth="1"/>
    <col min="14592" max="14594" width="9" style="932" customWidth="1"/>
    <col min="14595" max="14595" width="5.42578125" style="932" customWidth="1"/>
    <col min="14596" max="14817" width="9" style="932"/>
    <col min="14818" max="14822" width="9" style="932" customWidth="1"/>
    <col min="14823" max="14823" width="5.42578125" style="932" customWidth="1"/>
    <col min="14824" max="14826" width="9" style="932" customWidth="1"/>
    <col min="14827" max="14827" width="5.42578125" style="932" customWidth="1"/>
    <col min="14828" max="14830" width="9" style="932" customWidth="1"/>
    <col min="14831" max="14831" width="5.42578125" style="932" customWidth="1"/>
    <col min="14832" max="14834" width="9" style="932" customWidth="1"/>
    <col min="14835" max="14835" width="5.42578125" style="932" customWidth="1"/>
    <col min="14836" max="14838" width="9" style="932" customWidth="1"/>
    <col min="14839" max="14839" width="5.42578125" style="932" customWidth="1"/>
    <col min="14840" max="14842" width="9" style="932" customWidth="1"/>
    <col min="14843" max="14843" width="5.42578125" style="932" customWidth="1"/>
    <col min="14844" max="14846" width="9" style="932" customWidth="1"/>
    <col min="14847" max="14847" width="5.42578125" style="932" customWidth="1"/>
    <col min="14848" max="14850" width="9" style="932" customWidth="1"/>
    <col min="14851" max="14851" width="5.42578125" style="932" customWidth="1"/>
    <col min="14852" max="15073" width="9" style="932"/>
    <col min="15074" max="15078" width="9" style="932" customWidth="1"/>
    <col min="15079" max="15079" width="5.42578125" style="932" customWidth="1"/>
    <col min="15080" max="15082" width="9" style="932" customWidth="1"/>
    <col min="15083" max="15083" width="5.42578125" style="932" customWidth="1"/>
    <col min="15084" max="15086" width="9" style="932" customWidth="1"/>
    <col min="15087" max="15087" width="5.42578125" style="932" customWidth="1"/>
    <col min="15088" max="15090" width="9" style="932" customWidth="1"/>
    <col min="15091" max="15091" width="5.42578125" style="932" customWidth="1"/>
    <col min="15092" max="15094" width="9" style="932" customWidth="1"/>
    <col min="15095" max="15095" width="5.42578125" style="932" customWidth="1"/>
    <col min="15096" max="15098" width="9" style="932" customWidth="1"/>
    <col min="15099" max="15099" width="5.42578125" style="932" customWidth="1"/>
    <col min="15100" max="15102" width="9" style="932" customWidth="1"/>
    <col min="15103" max="15103" width="5.42578125" style="932" customWidth="1"/>
    <col min="15104" max="15106" width="9" style="932" customWidth="1"/>
    <col min="15107" max="15107" width="5.42578125" style="932" customWidth="1"/>
    <col min="15108" max="15329" width="9" style="932"/>
    <col min="15330" max="15334" width="9" style="932" customWidth="1"/>
    <col min="15335" max="15335" width="5.42578125" style="932" customWidth="1"/>
    <col min="15336" max="15338" width="9" style="932" customWidth="1"/>
    <col min="15339" max="15339" width="5.42578125" style="932" customWidth="1"/>
    <col min="15340" max="15342" width="9" style="932" customWidth="1"/>
    <col min="15343" max="15343" width="5.42578125" style="932" customWidth="1"/>
    <col min="15344" max="15346" width="9" style="932" customWidth="1"/>
    <col min="15347" max="15347" width="5.42578125" style="932" customWidth="1"/>
    <col min="15348" max="15350" width="9" style="932" customWidth="1"/>
    <col min="15351" max="15351" width="5.42578125" style="932" customWidth="1"/>
    <col min="15352" max="15354" width="9" style="932" customWidth="1"/>
    <col min="15355" max="15355" width="5.42578125" style="932" customWidth="1"/>
    <col min="15356" max="15358" width="9" style="932" customWidth="1"/>
    <col min="15359" max="15359" width="5.42578125" style="932" customWidth="1"/>
    <col min="15360" max="15362" width="9" style="932" customWidth="1"/>
    <col min="15363" max="15363" width="5.42578125" style="932" customWidth="1"/>
    <col min="15364" max="15585" width="9" style="932"/>
    <col min="15586" max="15590" width="9" style="932" customWidth="1"/>
    <col min="15591" max="15591" width="5.42578125" style="932" customWidth="1"/>
    <col min="15592" max="15594" width="9" style="932" customWidth="1"/>
    <col min="15595" max="15595" width="5.42578125" style="932" customWidth="1"/>
    <col min="15596" max="15598" width="9" style="932" customWidth="1"/>
    <col min="15599" max="15599" width="5.42578125" style="932" customWidth="1"/>
    <col min="15600" max="15602" width="9" style="932" customWidth="1"/>
    <col min="15603" max="15603" width="5.42578125" style="932" customWidth="1"/>
    <col min="15604" max="15606" width="9" style="932" customWidth="1"/>
    <col min="15607" max="15607" width="5.42578125" style="932" customWidth="1"/>
    <col min="15608" max="15610" width="9" style="932" customWidth="1"/>
    <col min="15611" max="15611" width="5.42578125" style="932" customWidth="1"/>
    <col min="15612" max="15614" width="9" style="932" customWidth="1"/>
    <col min="15615" max="15615" width="5.42578125" style="932" customWidth="1"/>
    <col min="15616" max="15618" width="9" style="932" customWidth="1"/>
    <col min="15619" max="15619" width="5.42578125" style="932" customWidth="1"/>
    <col min="15620" max="15841" width="9" style="932"/>
    <col min="15842" max="15846" width="9" style="932" customWidth="1"/>
    <col min="15847" max="15847" width="5.42578125" style="932" customWidth="1"/>
    <col min="15848" max="15850" width="9" style="932" customWidth="1"/>
    <col min="15851" max="15851" width="5.42578125" style="932" customWidth="1"/>
    <col min="15852" max="15854" width="9" style="932" customWidth="1"/>
    <col min="15855" max="15855" width="5.42578125" style="932" customWidth="1"/>
    <col min="15856" max="15858" width="9" style="932" customWidth="1"/>
    <col min="15859" max="15859" width="5.42578125" style="932" customWidth="1"/>
    <col min="15860" max="15862" width="9" style="932" customWidth="1"/>
    <col min="15863" max="15863" width="5.42578125" style="932" customWidth="1"/>
    <col min="15864" max="15866" width="9" style="932" customWidth="1"/>
    <col min="15867" max="15867" width="5.42578125" style="932" customWidth="1"/>
    <col min="15868" max="15870" width="9" style="932" customWidth="1"/>
    <col min="15871" max="15871" width="5.42578125" style="932" customWidth="1"/>
    <col min="15872" max="15874" width="9" style="932" customWidth="1"/>
    <col min="15875" max="15875" width="5.42578125" style="932" customWidth="1"/>
    <col min="15876" max="16097" width="9" style="932"/>
    <col min="16098" max="16102" width="9" style="932" customWidth="1"/>
    <col min="16103" max="16103" width="5.42578125" style="932" customWidth="1"/>
    <col min="16104" max="16106" width="9" style="932" customWidth="1"/>
    <col min="16107" max="16107" width="5.42578125" style="932" customWidth="1"/>
    <col min="16108" max="16110" width="9" style="932" customWidth="1"/>
    <col min="16111" max="16111" width="5.42578125" style="932" customWidth="1"/>
    <col min="16112" max="16114" width="9" style="932" customWidth="1"/>
    <col min="16115" max="16115" width="5.42578125" style="932" customWidth="1"/>
    <col min="16116" max="16118" width="9" style="932" customWidth="1"/>
    <col min="16119" max="16119" width="5.42578125" style="932" customWidth="1"/>
    <col min="16120" max="16122" width="9" style="932" customWidth="1"/>
    <col min="16123" max="16123" width="5.42578125" style="932" customWidth="1"/>
    <col min="16124" max="16126" width="9" style="932" customWidth="1"/>
    <col min="16127" max="16127" width="5.42578125" style="932" customWidth="1"/>
    <col min="16128" max="16130" width="9" style="932" customWidth="1"/>
    <col min="16131" max="16131" width="5.42578125" style="932" customWidth="1"/>
    <col min="16132" max="16384" width="9" style="932"/>
  </cols>
  <sheetData>
    <row r="1" spans="1:37">
      <c r="A1" s="931" t="s">
        <v>731</v>
      </c>
      <c r="B1" s="931"/>
      <c r="C1" s="931"/>
      <c r="D1" s="931"/>
    </row>
    <row r="2" spans="1:37">
      <c r="A2" s="933" t="s">
        <v>732</v>
      </c>
    </row>
    <row r="3" spans="1:37" ht="15" customHeight="1">
      <c r="A3" s="935" t="s">
        <v>733</v>
      </c>
      <c r="B3" s="931"/>
      <c r="C3" s="1183" t="s">
        <v>734</v>
      </c>
      <c r="D3" s="1183"/>
      <c r="E3" s="1183"/>
      <c r="F3" s="936"/>
    </row>
    <row r="4" spans="1:37" ht="15" customHeight="1">
      <c r="A4" s="935" t="s">
        <v>735</v>
      </c>
      <c r="B4" s="931"/>
      <c r="C4" s="1182" t="s">
        <v>72</v>
      </c>
      <c r="D4" s="1182"/>
      <c r="E4" s="1182"/>
      <c r="F4" s="937"/>
    </row>
    <row r="5" spans="1:37">
      <c r="C5" s="938" t="s">
        <v>159</v>
      </c>
      <c r="D5" s="938" t="s">
        <v>736</v>
      </c>
      <c r="E5" s="938" t="s">
        <v>158</v>
      </c>
      <c r="F5" s="938"/>
    </row>
    <row r="6" spans="1:37">
      <c r="C6" s="938"/>
      <c r="D6" s="938"/>
      <c r="E6" s="938"/>
      <c r="F6" s="938"/>
      <c r="K6" s="945">
        <f>INDEX(Q13:Q18,O6)</f>
        <v>99999999</v>
      </c>
      <c r="O6" s="1105">
        <v>1</v>
      </c>
      <c r="Q6" s="932" t="s">
        <v>738</v>
      </c>
    </row>
    <row r="7" spans="1:37" ht="15">
      <c r="A7" s="934">
        <v>2000</v>
      </c>
      <c r="C7" s="938"/>
      <c r="D7" s="940">
        <v>628346</v>
      </c>
      <c r="E7" s="938"/>
      <c r="F7" s="938"/>
      <c r="G7" s="944"/>
      <c r="J7" s="932">
        <v>1963</v>
      </c>
      <c r="Q7" s="932">
        <v>1000</v>
      </c>
      <c r="U7"/>
      <c r="V7"/>
      <c r="W7"/>
      <c r="X7"/>
      <c r="Y7"/>
      <c r="Z7"/>
      <c r="AA7"/>
      <c r="AB7"/>
      <c r="AC7"/>
      <c r="AD7"/>
      <c r="AE7"/>
      <c r="AF7"/>
      <c r="AG7"/>
      <c r="AH7"/>
      <c r="AI7"/>
      <c r="AJ7"/>
      <c r="AK7"/>
    </row>
    <row r="8" spans="1:37" ht="15">
      <c r="A8" s="934">
        <v>2001</v>
      </c>
      <c r="C8" s="938"/>
      <c r="D8" s="940">
        <v>632716</v>
      </c>
      <c r="E8" s="938"/>
      <c r="F8" s="938"/>
      <c r="G8" s="944"/>
      <c r="J8" s="932">
        <v>1850</v>
      </c>
      <c r="Q8" s="932">
        <v>1250</v>
      </c>
      <c r="U8"/>
      <c r="V8">
        <v>2015</v>
      </c>
      <c r="W8">
        <v>2016</v>
      </c>
      <c r="X8">
        <v>2017</v>
      </c>
      <c r="Y8">
        <v>2018</v>
      </c>
      <c r="Z8">
        <v>2019</v>
      </c>
      <c r="AA8">
        <v>2020</v>
      </c>
      <c r="AB8">
        <v>2021</v>
      </c>
      <c r="AC8">
        <v>2022</v>
      </c>
      <c r="AD8">
        <v>2023</v>
      </c>
      <c r="AE8">
        <v>2024</v>
      </c>
      <c r="AF8">
        <v>2025</v>
      </c>
      <c r="AG8">
        <v>2026</v>
      </c>
      <c r="AH8">
        <v>2027</v>
      </c>
      <c r="AI8">
        <v>2028</v>
      </c>
      <c r="AJ8">
        <v>2029</v>
      </c>
      <c r="AK8">
        <v>2030</v>
      </c>
    </row>
    <row r="9" spans="1:37" ht="15">
      <c r="A9" s="934">
        <v>2002</v>
      </c>
      <c r="C9" s="938"/>
      <c r="D9" s="940">
        <v>641729</v>
      </c>
      <c r="E9" s="938"/>
      <c r="F9" s="938"/>
      <c r="G9" s="944"/>
      <c r="J9" s="932">
        <v>1540</v>
      </c>
      <c r="Q9" s="932">
        <v>1500</v>
      </c>
      <c r="U9" s="114" t="s">
        <v>745</v>
      </c>
      <c r="V9" s="114">
        <v>1005.2689092988842</v>
      </c>
      <c r="W9" s="114">
        <v>1022.200221770536</v>
      </c>
      <c r="X9" s="114">
        <v>1393.9231140835384</v>
      </c>
      <c r="Y9" s="114">
        <v>1350.3377359246015</v>
      </c>
      <c r="Z9" s="114">
        <v>1380.5513765461965</v>
      </c>
      <c r="AA9" s="114">
        <v>1465.5976643165391</v>
      </c>
      <c r="AB9" s="114">
        <v>1387.8374686941052</v>
      </c>
      <c r="AC9" s="114">
        <v>1301.7394069704449</v>
      </c>
      <c r="AD9" s="114">
        <v>1256.6191212351337</v>
      </c>
      <c r="AE9" s="114">
        <v>1191.9808370262649</v>
      </c>
      <c r="AF9" s="114">
        <v>1084.298876227688</v>
      </c>
      <c r="AG9" s="114">
        <v>996.61199836970854</v>
      </c>
      <c r="AH9" s="114">
        <v>922.00252839798702</v>
      </c>
      <c r="AI9" s="114">
        <v>859.72759715231678</v>
      </c>
      <c r="AJ9" s="114">
        <v>797.48451165508357</v>
      </c>
      <c r="AK9" s="114">
        <v>743.23570017305042</v>
      </c>
    </row>
    <row r="10" spans="1:37" ht="15">
      <c r="A10" s="934">
        <v>2003</v>
      </c>
      <c r="C10" s="938"/>
      <c r="D10" s="940">
        <v>649466</v>
      </c>
      <c r="E10" s="938"/>
      <c r="F10" s="938"/>
      <c r="G10" s="944"/>
      <c r="J10" s="932">
        <v>1108</v>
      </c>
      <c r="Q10" s="932">
        <v>1750</v>
      </c>
      <c r="U10" s="114" t="s">
        <v>746</v>
      </c>
      <c r="V10" s="114">
        <v>452.24467905707735</v>
      </c>
      <c r="W10" s="114">
        <v>461.50381737898346</v>
      </c>
      <c r="X10" s="114">
        <v>631.85213485058841</v>
      </c>
      <c r="Y10" s="114">
        <v>600.50840461431926</v>
      </c>
      <c r="Z10" s="114">
        <v>600.19682943724308</v>
      </c>
      <c r="AA10" s="114">
        <v>637.33047327583756</v>
      </c>
      <c r="AB10" s="114">
        <v>596.84212016884578</v>
      </c>
      <c r="AC10" s="114">
        <v>550.91032859776669</v>
      </c>
      <c r="AD10" s="114">
        <v>532.19616762287376</v>
      </c>
      <c r="AE10" s="114">
        <v>511.69156987825852</v>
      </c>
      <c r="AF10" s="114">
        <v>461.43382543704774</v>
      </c>
      <c r="AG10" s="114">
        <v>421.4920949448948</v>
      </c>
      <c r="AH10" s="114">
        <v>387.69693817086994</v>
      </c>
      <c r="AI10" s="114">
        <v>359.36538031793464</v>
      </c>
      <c r="AJ10" s="114">
        <v>331.71377228652068</v>
      </c>
      <c r="AK10" s="114">
        <v>307.92196034972807</v>
      </c>
    </row>
    <row r="11" spans="1:37" ht="15">
      <c r="A11" s="934">
        <v>2004</v>
      </c>
      <c r="C11" s="938"/>
      <c r="D11" s="940">
        <v>659653</v>
      </c>
      <c r="E11" s="938"/>
      <c r="F11" s="938"/>
      <c r="G11" s="944"/>
      <c r="J11" s="932">
        <v>920</v>
      </c>
      <c r="Q11" s="932">
        <v>2000</v>
      </c>
      <c r="U11" s="115" t="s">
        <v>142</v>
      </c>
      <c r="V11" s="114">
        <f t="shared" ref="V11:AK11" si="0">SUM(V9:V10)</f>
        <v>1457.5135883559615</v>
      </c>
      <c r="W11" s="114">
        <f t="shared" si="0"/>
        <v>1483.7040391495195</v>
      </c>
      <c r="X11" s="114">
        <f t="shared" si="0"/>
        <v>2025.7752489341269</v>
      </c>
      <c r="Y11" s="114">
        <f t="shared" si="0"/>
        <v>1950.8461405389207</v>
      </c>
      <c r="Z11" s="114">
        <f t="shared" si="0"/>
        <v>1980.7482059834397</v>
      </c>
      <c r="AA11" s="114">
        <f t="shared" si="0"/>
        <v>2102.9281375923765</v>
      </c>
      <c r="AB11" s="114">
        <f t="shared" si="0"/>
        <v>1984.6795888629508</v>
      </c>
      <c r="AC11" s="114">
        <f t="shared" si="0"/>
        <v>1852.6497355682116</v>
      </c>
      <c r="AD11" s="114">
        <f t="shared" si="0"/>
        <v>1788.8152888580075</v>
      </c>
      <c r="AE11" s="114">
        <f t="shared" si="0"/>
        <v>1703.6724069045235</v>
      </c>
      <c r="AF11" s="114">
        <f t="shared" si="0"/>
        <v>1545.7327016647357</v>
      </c>
      <c r="AG11" s="114">
        <f t="shared" si="0"/>
        <v>1418.1040933146032</v>
      </c>
      <c r="AH11" s="114">
        <f t="shared" si="0"/>
        <v>1309.6994665688569</v>
      </c>
      <c r="AI11" s="114">
        <f t="shared" si="0"/>
        <v>1219.0929774702513</v>
      </c>
      <c r="AJ11" s="114">
        <f t="shared" si="0"/>
        <v>1129.1982839416041</v>
      </c>
      <c r="AK11" s="114">
        <f t="shared" si="0"/>
        <v>1051.1576605227785</v>
      </c>
    </row>
    <row r="12" spans="1:37" ht="15">
      <c r="A12" s="934">
        <v>2005</v>
      </c>
      <c r="C12" s="938"/>
      <c r="D12" s="940">
        <v>667146</v>
      </c>
      <c r="E12" s="938"/>
      <c r="F12" s="938"/>
      <c r="G12" s="944"/>
      <c r="J12" s="932">
        <v>845</v>
      </c>
      <c r="U12" s="115" t="s">
        <v>747</v>
      </c>
      <c r="V12" s="895">
        <f>V11*0.745</f>
        <v>1085.8476233251913</v>
      </c>
      <c r="W12" s="895">
        <f t="shared" ref="W12:AK12" si="1">W11*0.745</f>
        <v>1105.3595091663919</v>
      </c>
      <c r="X12" s="895">
        <f t="shared" si="1"/>
        <v>1509.2025604559246</v>
      </c>
      <c r="Y12" s="895">
        <f t="shared" si="1"/>
        <v>1453.3803747014958</v>
      </c>
      <c r="Z12" s="895">
        <f t="shared" si="1"/>
        <v>1475.6574134576626</v>
      </c>
      <c r="AA12" s="895">
        <f t="shared" si="1"/>
        <v>1566.6814625063205</v>
      </c>
      <c r="AB12" s="895">
        <f t="shared" si="1"/>
        <v>1478.5862937028983</v>
      </c>
      <c r="AC12" s="895">
        <f t="shared" si="1"/>
        <v>1380.2240529983176</v>
      </c>
      <c r="AD12" s="895">
        <f t="shared" si="1"/>
        <v>1332.6673901992156</v>
      </c>
      <c r="AE12" s="895">
        <f t="shared" si="1"/>
        <v>1269.2359431438699</v>
      </c>
      <c r="AF12" s="895">
        <f t="shared" si="1"/>
        <v>1151.570862740228</v>
      </c>
      <c r="AG12" s="895">
        <f t="shared" si="1"/>
        <v>1056.4875495193794</v>
      </c>
      <c r="AH12" s="895">
        <f t="shared" si="1"/>
        <v>975.72610259379837</v>
      </c>
      <c r="AI12" s="895">
        <f t="shared" si="1"/>
        <v>908.22426821533725</v>
      </c>
      <c r="AJ12" s="895">
        <f t="shared" si="1"/>
        <v>841.25272153649507</v>
      </c>
      <c r="AK12" s="895">
        <f t="shared" si="1"/>
        <v>783.11245708947001</v>
      </c>
    </row>
    <row r="13" spans="1:37" ht="15">
      <c r="A13" s="934">
        <v>2006</v>
      </c>
      <c r="C13" s="938"/>
      <c r="D13" s="940">
        <v>674583</v>
      </c>
      <c r="E13" s="938"/>
      <c r="F13" s="938"/>
      <c r="G13" s="944"/>
      <c r="I13" s="932">
        <f t="shared" ref="I13:I18" si="2">G13/D13*1000000</f>
        <v>0</v>
      </c>
      <c r="J13" s="932">
        <v>1107</v>
      </c>
      <c r="Q13" s="932">
        <v>99999999</v>
      </c>
      <c r="U13" s="114" t="s">
        <v>856</v>
      </c>
      <c r="V13" s="956">
        <f>IF('All Rev &amp; Projects'!$A$22,INDEX('PFD  Limits &amp; SB 114'!$G$60:$G$75,'PFD  Limits &amp; SB 114'!V8-2014),INDEX('PFD  Limits &amp; SB 114'!$E$60:$E$75,'PFD  Limits &amp; SB 114'!V8-2014))</f>
        <v>1304</v>
      </c>
      <c r="W13" s="956">
        <f>Endowment!N43</f>
        <v>2299.16</v>
      </c>
      <c r="X13" s="956">
        <f>Endowment!O43</f>
        <v>2441.4914050000002</v>
      </c>
      <c r="Y13" s="956">
        <f>Endowment!P43</f>
        <v>2590.9161473575</v>
      </c>
      <c r="Z13" s="956">
        <f>Endowment!Q43</f>
        <v>2703.2349148964113</v>
      </c>
      <c r="AA13" s="956">
        <f>Endowment!R43</f>
        <v>2759.4116874900014</v>
      </c>
      <c r="AB13" s="956">
        <f>Endowment!S43</f>
        <v>2801.1733647231968</v>
      </c>
      <c r="AC13" s="956">
        <f>Endowment!T43</f>
        <v>2840.4832514590025</v>
      </c>
      <c r="AD13" s="956">
        <f>Endowment!U43</f>
        <v>2878.2207777644708</v>
      </c>
      <c r="AE13" s="956">
        <f>Endowment!V43</f>
        <v>2915.4061156336547</v>
      </c>
      <c r="AF13" s="956">
        <f>Endowment!W43</f>
        <v>2952.7566397744213</v>
      </c>
      <c r="AG13" s="956">
        <f>Endowment!X43</f>
        <v>2990.4707716270009</v>
      </c>
      <c r="AH13" s="956">
        <f>Endowment!Y43</f>
        <v>3028.6113485194765</v>
      </c>
      <c r="AI13" s="956">
        <f>Endowment!Z43</f>
        <v>3067.216289920234</v>
      </c>
      <c r="AJ13" s="956">
        <f>Endowment!AA43</f>
        <v>3106.3054800955802</v>
      </c>
      <c r="AK13" s="956">
        <f>Endowment!AB43</f>
        <v>3145.8896618220911</v>
      </c>
    </row>
    <row r="14" spans="1:37" ht="15">
      <c r="A14" s="934">
        <v>2007</v>
      </c>
      <c r="C14" s="938"/>
      <c r="D14" s="940">
        <v>680169</v>
      </c>
      <c r="E14" s="938"/>
      <c r="F14" s="938"/>
      <c r="G14" s="944"/>
      <c r="I14" s="932">
        <f t="shared" si="2"/>
        <v>0</v>
      </c>
      <c r="J14" s="932">
        <v>1654</v>
      </c>
      <c r="Q14" s="932">
        <v>1000</v>
      </c>
      <c r="U14" s="114" t="s">
        <v>751</v>
      </c>
      <c r="V14" s="114">
        <f>MAX(1000-INDEX($N$22:$N$37,V8-2014),0)*INDEX($D$22:$D$37,V8-2014)/0.92/1000000</f>
        <v>0</v>
      </c>
      <c r="W14" s="114">
        <f t="shared" ref="W14:AK14" si="3">MAX(1000-INDEX($N$22:$N$37,W8-2014),0)*INDEX($D$22:$D$37,W8-2014)/0.92/1000000</f>
        <v>0</v>
      </c>
      <c r="X14" s="114">
        <f t="shared" si="3"/>
        <v>0</v>
      </c>
      <c r="Y14" s="114">
        <f t="shared" si="3"/>
        <v>0</v>
      </c>
      <c r="Z14" s="114">
        <f t="shared" si="3"/>
        <v>0</v>
      </c>
      <c r="AA14" s="114">
        <f t="shared" si="3"/>
        <v>0</v>
      </c>
      <c r="AB14" s="114">
        <f t="shared" si="3"/>
        <v>0</v>
      </c>
      <c r="AC14" s="114">
        <f t="shared" si="3"/>
        <v>0</v>
      </c>
      <c r="AD14" s="114">
        <f t="shared" si="3"/>
        <v>0</v>
      </c>
      <c r="AE14" s="114">
        <f t="shared" si="3"/>
        <v>0</v>
      </c>
      <c r="AF14" s="114">
        <f t="shared" si="3"/>
        <v>0</v>
      </c>
      <c r="AG14" s="114">
        <f t="shared" si="3"/>
        <v>0</v>
      </c>
      <c r="AH14" s="114">
        <f t="shared" si="3"/>
        <v>0</v>
      </c>
      <c r="AI14" s="114">
        <f t="shared" si="3"/>
        <v>0</v>
      </c>
      <c r="AJ14" s="114">
        <f t="shared" si="3"/>
        <v>0</v>
      </c>
      <c r="AK14" s="114">
        <f t="shared" si="3"/>
        <v>0</v>
      </c>
    </row>
    <row r="15" spans="1:37" ht="15">
      <c r="A15" s="934">
        <v>2008</v>
      </c>
      <c r="C15" s="938"/>
      <c r="D15" s="940">
        <v>686818</v>
      </c>
      <c r="E15" s="938"/>
      <c r="F15" s="938"/>
      <c r="G15" s="944"/>
      <c r="I15" s="932">
        <f t="shared" si="2"/>
        <v>0</v>
      </c>
      <c r="J15" s="932">
        <v>2069</v>
      </c>
      <c r="Q15" s="932">
        <v>1250</v>
      </c>
      <c r="U15" s="114" t="s">
        <v>748</v>
      </c>
      <c r="V15" s="270">
        <f>V13-V9-V14</f>
        <v>298.73109070111582</v>
      </c>
      <c r="W15" s="270">
        <f t="shared" ref="W15:AK15" si="4">W13-W9</f>
        <v>1276.9597782294638</v>
      </c>
      <c r="X15" s="270">
        <f t="shared" si="4"/>
        <v>1047.5682909164618</v>
      </c>
      <c r="Y15" s="270">
        <f t="shared" si="4"/>
        <v>1240.5784114328985</v>
      </c>
      <c r="Z15" s="270">
        <f t="shared" si="4"/>
        <v>1322.6835383502148</v>
      </c>
      <c r="AA15" s="270">
        <f t="shared" si="4"/>
        <v>1293.8140231734624</v>
      </c>
      <c r="AB15" s="270">
        <f t="shared" si="4"/>
        <v>1413.3358960290916</v>
      </c>
      <c r="AC15" s="270">
        <f t="shared" si="4"/>
        <v>1538.7438444885577</v>
      </c>
      <c r="AD15" s="270">
        <f t="shared" si="4"/>
        <v>1621.6016565293371</v>
      </c>
      <c r="AE15" s="270">
        <f t="shared" si="4"/>
        <v>1723.4252786073898</v>
      </c>
      <c r="AF15" s="270">
        <f t="shared" si="4"/>
        <v>1868.4577635467333</v>
      </c>
      <c r="AG15" s="270">
        <f t="shared" si="4"/>
        <v>1993.8587732572923</v>
      </c>
      <c r="AH15" s="270">
        <f t="shared" si="4"/>
        <v>2106.6088201214893</v>
      </c>
      <c r="AI15" s="270">
        <f t="shared" si="4"/>
        <v>2207.4886927679172</v>
      </c>
      <c r="AJ15" s="270">
        <f t="shared" si="4"/>
        <v>2308.8209684404965</v>
      </c>
      <c r="AK15" s="270">
        <f t="shared" si="4"/>
        <v>2402.6539616490409</v>
      </c>
    </row>
    <row r="16" spans="1:37">
      <c r="A16" s="934">
        <v>2009</v>
      </c>
      <c r="C16" s="938"/>
      <c r="D16" s="940">
        <v>697828</v>
      </c>
      <c r="E16" s="938"/>
      <c r="F16" s="938"/>
      <c r="G16" s="944"/>
      <c r="I16" s="932">
        <f t="shared" si="2"/>
        <v>0</v>
      </c>
      <c r="J16" s="932">
        <v>1305</v>
      </c>
      <c r="Q16" s="932">
        <v>1500</v>
      </c>
    </row>
    <row r="17" spans="1:17">
      <c r="A17" s="934">
        <v>2010</v>
      </c>
      <c r="C17" s="938"/>
      <c r="D17" s="940">
        <v>713815</v>
      </c>
      <c r="E17" s="938"/>
      <c r="F17" s="938"/>
      <c r="G17" s="944"/>
      <c r="I17" s="932">
        <f t="shared" si="2"/>
        <v>0</v>
      </c>
      <c r="J17" s="932">
        <v>1281</v>
      </c>
      <c r="Q17" s="932">
        <v>1750</v>
      </c>
    </row>
    <row r="18" spans="1:17">
      <c r="A18" s="934">
        <v>2011</v>
      </c>
      <c r="C18" s="938"/>
      <c r="D18" s="940">
        <v>722818</v>
      </c>
      <c r="E18" s="938"/>
      <c r="F18" s="938"/>
      <c r="G18" s="944"/>
      <c r="I18" s="932">
        <f t="shared" si="2"/>
        <v>0</v>
      </c>
      <c r="J18" s="932">
        <v>1174</v>
      </c>
      <c r="N18" s="932" t="s">
        <v>739</v>
      </c>
      <c r="O18" s="932" t="s">
        <v>740</v>
      </c>
      <c r="Q18" s="932">
        <v>2000</v>
      </c>
    </row>
    <row r="19" spans="1:17">
      <c r="A19" s="934">
        <v>2012</v>
      </c>
      <c r="B19" s="939"/>
      <c r="C19" s="940">
        <v>732298</v>
      </c>
      <c r="D19" s="940">
        <v>732298</v>
      </c>
      <c r="E19" s="940">
        <v>732298</v>
      </c>
      <c r="F19" s="940"/>
      <c r="G19" s="944"/>
      <c r="I19" s="932">
        <f>G19/D19*1000000</f>
        <v>0</v>
      </c>
      <c r="J19" s="932">
        <v>878</v>
      </c>
      <c r="K19" s="932">
        <f>IF(J19&gt;$K$6,$K$6,0)</f>
        <v>0</v>
      </c>
      <c r="L19" s="932">
        <f>J19-K19</f>
        <v>878</v>
      </c>
    </row>
    <row r="20" spans="1:17">
      <c r="A20" s="934">
        <v>2013</v>
      </c>
      <c r="B20" s="939"/>
      <c r="C20" s="940">
        <v>736359</v>
      </c>
      <c r="D20" s="940">
        <v>739998</v>
      </c>
      <c r="E20" s="940">
        <v>747263</v>
      </c>
      <c r="F20" s="940"/>
      <c r="G20" s="944"/>
      <c r="I20" s="932">
        <f t="shared" ref="I20:I37" si="5">G20/D20*1000000</f>
        <v>0</v>
      </c>
      <c r="J20" s="932">
        <v>900</v>
      </c>
      <c r="K20" s="932">
        <f>IF(J20&gt;$K$6,$K$6,0)</f>
        <v>0</v>
      </c>
      <c r="L20" s="932">
        <f>J20-K20</f>
        <v>900</v>
      </c>
      <c r="N20" s="932">
        <f>IF(K20=0,J20,K20)</f>
        <v>900</v>
      </c>
      <c r="O20" s="947">
        <f>IF(K20=0,0,L20)</f>
        <v>0</v>
      </c>
    </row>
    <row r="21" spans="1:17">
      <c r="A21" s="934">
        <v>2014</v>
      </c>
      <c r="B21" s="939"/>
      <c r="C21" s="940">
        <v>740308</v>
      </c>
      <c r="D21" s="940">
        <v>747668</v>
      </c>
      <c r="E21" s="940">
        <v>762514</v>
      </c>
      <c r="F21" s="940"/>
      <c r="G21" s="944"/>
      <c r="I21" s="932">
        <f t="shared" si="5"/>
        <v>0</v>
      </c>
      <c r="J21" s="932">
        <v>1884</v>
      </c>
      <c r="K21" s="932">
        <f>IF(J21&gt;$K$6,$K$6,0)</f>
        <v>0</v>
      </c>
      <c r="L21" s="932">
        <f>J21-K21</f>
        <v>1884</v>
      </c>
      <c r="N21" s="932">
        <f t="shared" ref="N21:N37" si="6">IF(K21=0,J21,K21)</f>
        <v>1884</v>
      </c>
      <c r="O21" s="947">
        <f>IF(K21=0,0,L21)*0.92*D21</f>
        <v>0</v>
      </c>
      <c r="P21" s="946"/>
    </row>
    <row r="22" spans="1:17">
      <c r="A22" s="934">
        <v>2015</v>
      </c>
      <c r="B22" s="939"/>
      <c r="C22" s="940">
        <v>744127</v>
      </c>
      <c r="D22" s="940">
        <v>755310</v>
      </c>
      <c r="E22" s="940">
        <v>778022</v>
      </c>
      <c r="F22" s="940"/>
      <c r="G22" s="944">
        <f>IF('All Rev &amp; Projects'!$A$20,I60,IF('All Rev &amp; Projects'!$B$15="Yes",'PFD  Limits &amp; SB 114'!E60,'PFD  Limits &amp; SB 114'!G60*(1-'All Rev &amp; Projects'!$B$24)))</f>
        <v>1304</v>
      </c>
      <c r="I22" s="932">
        <f>G22/D22*1000000</f>
        <v>1726.4434470614715</v>
      </c>
      <c r="J22" s="932">
        <f>I22/0.92</f>
        <v>1876.5689641972515</v>
      </c>
      <c r="K22" s="932">
        <f t="shared" ref="K22:K37" si="7">IF(J22&gt;$K$6,$K$6,0)</f>
        <v>0</v>
      </c>
      <c r="L22" s="932">
        <f>J22-K22</f>
        <v>1876.5689641972515</v>
      </c>
      <c r="N22" s="932">
        <f t="shared" si="6"/>
        <v>1876.5689641972515</v>
      </c>
      <c r="O22" s="947">
        <f t="shared" ref="O22:O37" si="8">IF(K22=0,0,L22)*0.92*D22</f>
        <v>0</v>
      </c>
      <c r="P22" s="932">
        <v>2015</v>
      </c>
      <c r="Q22" s="932">
        <f>ROUND(N22*2,-2)/2</f>
        <v>1900</v>
      </c>
    </row>
    <row r="23" spans="1:17">
      <c r="A23" s="934">
        <v>2016</v>
      </c>
      <c r="B23" s="939"/>
      <c r="C23" s="940">
        <v>747788</v>
      </c>
      <c r="D23" s="940">
        <v>762902</v>
      </c>
      <c r="E23" s="940">
        <v>793790</v>
      </c>
      <c r="F23" s="940"/>
      <c r="G23" s="944">
        <f>IF('All Rev &amp; Projects'!$A$20,I61,IF('All Rev &amp; Projects'!$B$15="Yes",'PFD  Limits &amp; SB 114'!E61,'PFD  Limits &amp; SB 114'!G61*(1-'All Rev &amp; Projects'!$B$24)))</f>
        <v>1360</v>
      </c>
      <c r="I23" s="932">
        <f t="shared" si="5"/>
        <v>1782.6667121071907</v>
      </c>
      <c r="J23" s="932">
        <f t="shared" ref="J23:J37" si="9">I23/0.92</f>
        <v>1937.6812088121637</v>
      </c>
      <c r="K23" s="932">
        <f t="shared" si="7"/>
        <v>0</v>
      </c>
      <c r="L23" s="932">
        <f t="shared" ref="L23:L37" si="10">J23-K23</f>
        <v>1937.6812088121637</v>
      </c>
      <c r="N23" s="932">
        <f t="shared" si="6"/>
        <v>1937.6812088121637</v>
      </c>
      <c r="O23" s="947">
        <f t="shared" si="8"/>
        <v>0</v>
      </c>
      <c r="P23" s="932">
        <f>P22+1</f>
        <v>2016</v>
      </c>
      <c r="Q23" s="932">
        <f t="shared" ref="Q23:Q37" si="11">ROUND(N23*2,-2)/2</f>
        <v>1950</v>
      </c>
    </row>
    <row r="24" spans="1:17">
      <c r="A24" s="934">
        <v>2017</v>
      </c>
      <c r="B24" s="939"/>
      <c r="C24" s="940">
        <v>751310</v>
      </c>
      <c r="D24" s="940">
        <v>770417</v>
      </c>
      <c r="E24" s="940">
        <v>809783</v>
      </c>
      <c r="F24" s="940"/>
      <c r="G24" s="944">
        <f>IF('All Rev &amp; Projects'!$A$20,I62,IF('All Rev &amp; Projects'!$B$15="Yes",'PFD  Limits &amp; SB 114'!E62,'PFD  Limits &amp; SB 114'!G62*(1-'All Rev &amp; Projects'!$B$24)))</f>
        <v>1491</v>
      </c>
      <c r="I24" s="932">
        <f t="shared" si="5"/>
        <v>1935.3155498905139</v>
      </c>
      <c r="J24" s="932">
        <f t="shared" si="9"/>
        <v>2103.6038585766455</v>
      </c>
      <c r="K24" s="932">
        <f t="shared" si="7"/>
        <v>0</v>
      </c>
      <c r="L24" s="932">
        <f t="shared" si="10"/>
        <v>2103.6038585766455</v>
      </c>
      <c r="N24" s="932">
        <f t="shared" si="6"/>
        <v>2103.6038585766455</v>
      </c>
      <c r="O24" s="947">
        <f t="shared" si="8"/>
        <v>0</v>
      </c>
      <c r="P24" s="932">
        <f t="shared" ref="P24:P37" si="12">P23+1</f>
        <v>2017</v>
      </c>
      <c r="Q24" s="932">
        <f t="shared" si="11"/>
        <v>2100</v>
      </c>
    </row>
    <row r="25" spans="1:17">
      <c r="A25" s="934">
        <v>2018</v>
      </c>
      <c r="B25" s="939"/>
      <c r="C25" s="940">
        <v>754657</v>
      </c>
      <c r="D25" s="940">
        <v>777858</v>
      </c>
      <c r="E25" s="940">
        <v>826021</v>
      </c>
      <c r="F25" s="940"/>
      <c r="G25" s="944">
        <f>IF('All Rev &amp; Projects'!$A$20,I63,IF('All Rev &amp; Projects'!$B$15="Yes",'PFD  Limits &amp; SB 114'!E63,'PFD  Limits &amp; SB 114'!G63*(1-'All Rev &amp; Projects'!$B$24)))</f>
        <v>1495</v>
      </c>
      <c r="I25" s="932">
        <f t="shared" si="5"/>
        <v>1921.9446222832446</v>
      </c>
      <c r="J25" s="932">
        <f t="shared" si="9"/>
        <v>2089.0702416122222</v>
      </c>
      <c r="K25" s="932">
        <f t="shared" si="7"/>
        <v>0</v>
      </c>
      <c r="L25" s="932">
        <f t="shared" si="10"/>
        <v>2089.0702416122222</v>
      </c>
      <c r="N25" s="932">
        <f t="shared" si="6"/>
        <v>2089.0702416122222</v>
      </c>
      <c r="O25" s="947">
        <f t="shared" si="8"/>
        <v>0</v>
      </c>
      <c r="P25" s="932">
        <f t="shared" si="12"/>
        <v>2018</v>
      </c>
      <c r="Q25" s="932">
        <f t="shared" si="11"/>
        <v>2100</v>
      </c>
    </row>
    <row r="26" spans="1:17">
      <c r="A26" s="934">
        <v>2019</v>
      </c>
      <c r="B26" s="939"/>
      <c r="C26" s="940">
        <v>757820</v>
      </c>
      <c r="D26" s="940">
        <v>785192</v>
      </c>
      <c r="E26" s="940">
        <v>842459</v>
      </c>
      <c r="F26" s="940"/>
      <c r="G26" s="944">
        <f>IF('All Rev &amp; Projects'!$A$20,I64,IF('All Rev &amp; Projects'!$B$15="Yes",'PFD  Limits &amp; SB 114'!E64,'PFD  Limits &amp; SB 114'!G64*(1-'All Rev &amp; Projects'!$B$24)))</f>
        <v>1450</v>
      </c>
      <c r="I26" s="932">
        <f t="shared" si="5"/>
        <v>1846.6820854007681</v>
      </c>
      <c r="J26" s="932">
        <f t="shared" si="9"/>
        <v>2007.2631363051826</v>
      </c>
      <c r="K26" s="932">
        <f t="shared" si="7"/>
        <v>0</v>
      </c>
      <c r="L26" s="932">
        <f t="shared" si="10"/>
        <v>2007.2631363051826</v>
      </c>
      <c r="N26" s="932">
        <f t="shared" si="6"/>
        <v>2007.2631363051826</v>
      </c>
      <c r="O26" s="947">
        <f t="shared" si="8"/>
        <v>0</v>
      </c>
      <c r="P26" s="932">
        <f t="shared" si="12"/>
        <v>2019</v>
      </c>
      <c r="Q26" s="932">
        <f t="shared" si="11"/>
        <v>2000</v>
      </c>
    </row>
    <row r="27" spans="1:17">
      <c r="A27" s="934">
        <v>2020</v>
      </c>
      <c r="B27" s="939"/>
      <c r="C27" s="940">
        <v>760782</v>
      </c>
      <c r="D27" s="940">
        <v>792431</v>
      </c>
      <c r="E27" s="940">
        <v>859111</v>
      </c>
      <c r="F27" s="940"/>
      <c r="G27" s="944">
        <f>IF('All Rev &amp; Projects'!$A$20,I65,IF('All Rev &amp; Projects'!$B$15="Yes",'PFD  Limits &amp; SB 114'!E65,'PFD  Limits &amp; SB 114'!G65*(1-'All Rev &amp; Projects'!$B$24)))</f>
        <v>1558</v>
      </c>
      <c r="I27" s="932">
        <f t="shared" si="5"/>
        <v>1966.1017804704766</v>
      </c>
      <c r="J27" s="932">
        <f t="shared" si="9"/>
        <v>2137.0671526853007</v>
      </c>
      <c r="K27" s="932">
        <f t="shared" si="7"/>
        <v>0</v>
      </c>
      <c r="L27" s="932">
        <f t="shared" si="10"/>
        <v>2137.0671526853007</v>
      </c>
      <c r="N27" s="932">
        <f t="shared" si="6"/>
        <v>2137.0671526853007</v>
      </c>
      <c r="O27" s="947">
        <f t="shared" si="8"/>
        <v>0</v>
      </c>
      <c r="P27" s="932">
        <f t="shared" si="12"/>
        <v>2020</v>
      </c>
      <c r="Q27" s="932">
        <f t="shared" si="11"/>
        <v>2150</v>
      </c>
    </row>
    <row r="28" spans="1:17">
      <c r="A28" s="934">
        <v>2021</v>
      </c>
      <c r="B28" s="939"/>
      <c r="C28" s="940">
        <v>763534</v>
      </c>
      <c r="D28" s="940">
        <v>799521</v>
      </c>
      <c r="E28" s="940">
        <v>875941</v>
      </c>
      <c r="F28" s="940"/>
      <c r="G28" s="944">
        <f>IF('All Rev &amp; Projects'!$A$20,I66,IF('All Rev &amp; Projects'!$B$15="Yes",'PFD  Limits &amp; SB 114'!E66,'PFD  Limits &amp; SB 114'!G66*(1-'All Rev &amp; Projects'!$B$24)))</f>
        <v>1639</v>
      </c>
      <c r="I28" s="932">
        <f t="shared" si="5"/>
        <v>2049.9774239826097</v>
      </c>
      <c r="J28" s="932">
        <f t="shared" si="9"/>
        <v>2228.2363304158798</v>
      </c>
      <c r="K28" s="932">
        <f t="shared" si="7"/>
        <v>0</v>
      </c>
      <c r="L28" s="932">
        <f t="shared" si="10"/>
        <v>2228.2363304158798</v>
      </c>
      <c r="N28" s="932">
        <f t="shared" si="6"/>
        <v>2228.2363304158798</v>
      </c>
      <c r="O28" s="947">
        <f t="shared" si="8"/>
        <v>0</v>
      </c>
      <c r="P28" s="932">
        <f t="shared" si="12"/>
        <v>2021</v>
      </c>
      <c r="Q28" s="932">
        <f t="shared" si="11"/>
        <v>2250</v>
      </c>
    </row>
    <row r="29" spans="1:17">
      <c r="A29" s="934">
        <v>2022</v>
      </c>
      <c r="B29" s="939"/>
      <c r="C29" s="940">
        <v>766070</v>
      </c>
      <c r="D29" s="940">
        <v>806479</v>
      </c>
      <c r="E29" s="940">
        <v>892947</v>
      </c>
      <c r="F29" s="940"/>
      <c r="G29" s="944">
        <f>IF('All Rev &amp; Projects'!$A$20,I67,IF('All Rev &amp; Projects'!$B$15="Yes",'PFD  Limits &amp; SB 114'!E67,'PFD  Limits &amp; SB 114'!G67*(1-'All Rev &amp; Projects'!$B$24)))</f>
        <v>1722</v>
      </c>
      <c r="I29" s="932">
        <f t="shared" si="5"/>
        <v>2135.2074883536957</v>
      </c>
      <c r="J29" s="932">
        <f t="shared" si="9"/>
        <v>2320.8777047322778</v>
      </c>
      <c r="K29" s="932">
        <f t="shared" si="7"/>
        <v>0</v>
      </c>
      <c r="L29" s="932">
        <f t="shared" si="10"/>
        <v>2320.8777047322778</v>
      </c>
      <c r="N29" s="932">
        <f t="shared" si="6"/>
        <v>2320.8777047322778</v>
      </c>
      <c r="O29" s="947">
        <f t="shared" si="8"/>
        <v>0</v>
      </c>
      <c r="P29" s="932">
        <f t="shared" si="12"/>
        <v>2022</v>
      </c>
      <c r="Q29" s="932">
        <f t="shared" si="11"/>
        <v>2300</v>
      </c>
    </row>
    <row r="30" spans="1:17">
      <c r="A30" s="934">
        <v>2023</v>
      </c>
      <c r="B30" s="939"/>
      <c r="C30" s="940">
        <v>768385</v>
      </c>
      <c r="D30" s="940">
        <v>813298</v>
      </c>
      <c r="E30" s="940">
        <v>910146</v>
      </c>
      <c r="F30" s="940"/>
      <c r="G30" s="944">
        <f>IF('All Rev &amp; Projects'!$A$20,I68,IF('All Rev &amp; Projects'!$B$15="Yes",'PFD  Limits &amp; SB 114'!E68,'PFD  Limits &amp; SB 114'!G68*(1-'All Rev &amp; Projects'!$B$24)))</f>
        <v>1810</v>
      </c>
      <c r="I30" s="932">
        <f t="shared" si="5"/>
        <v>2225.5065179061057</v>
      </c>
      <c r="J30" s="932">
        <f t="shared" si="9"/>
        <v>2419.0288238109842</v>
      </c>
      <c r="K30" s="932">
        <f t="shared" si="7"/>
        <v>0</v>
      </c>
      <c r="L30" s="932">
        <f t="shared" si="10"/>
        <v>2419.0288238109842</v>
      </c>
      <c r="N30" s="932">
        <f t="shared" si="6"/>
        <v>2419.0288238109842</v>
      </c>
      <c r="O30" s="947">
        <f t="shared" si="8"/>
        <v>0</v>
      </c>
      <c r="P30" s="932">
        <f t="shared" si="12"/>
        <v>2023</v>
      </c>
      <c r="Q30" s="932">
        <f t="shared" si="11"/>
        <v>2400</v>
      </c>
    </row>
    <row r="31" spans="1:17">
      <c r="A31" s="934">
        <v>2024</v>
      </c>
      <c r="B31" s="939"/>
      <c r="C31" s="940">
        <v>770485</v>
      </c>
      <c r="D31" s="940">
        <v>819978</v>
      </c>
      <c r="E31" s="940">
        <v>927511</v>
      </c>
      <c r="F31" s="940"/>
      <c r="G31" s="944">
        <f>IF('All Rev &amp; Projects'!$A$20,I69,IF('All Rev &amp; Projects'!$B$15="Yes",'PFD  Limits &amp; SB 114'!E69,'PFD  Limits &amp; SB 114'!G69*(1-'All Rev &amp; Projects'!$B$24)))</f>
        <v>1901</v>
      </c>
      <c r="I31" s="932">
        <f t="shared" si="5"/>
        <v>2318.3548826919746</v>
      </c>
      <c r="J31" s="932">
        <f t="shared" si="9"/>
        <v>2519.9509594477981</v>
      </c>
      <c r="K31" s="932">
        <f t="shared" si="7"/>
        <v>0</v>
      </c>
      <c r="L31" s="932">
        <f t="shared" si="10"/>
        <v>2519.9509594477981</v>
      </c>
      <c r="N31" s="932">
        <f t="shared" si="6"/>
        <v>2519.9509594477981</v>
      </c>
      <c r="O31" s="947">
        <f t="shared" si="8"/>
        <v>0</v>
      </c>
      <c r="P31" s="932">
        <f t="shared" si="12"/>
        <v>2024</v>
      </c>
      <c r="Q31" s="932">
        <f t="shared" si="11"/>
        <v>2500</v>
      </c>
    </row>
    <row r="32" spans="1:17">
      <c r="A32" s="934">
        <v>2025</v>
      </c>
      <c r="B32" s="939"/>
      <c r="C32" s="940">
        <v>772384</v>
      </c>
      <c r="D32" s="940">
        <v>826515</v>
      </c>
      <c r="E32" s="940">
        <v>945059</v>
      </c>
      <c r="F32" s="940"/>
      <c r="G32" s="944">
        <f>IF('All Rev &amp; Projects'!$A$20,I70,IF('All Rev &amp; Projects'!$B$15="Yes",'PFD  Limits &amp; SB 114'!E70,'PFD  Limits &amp; SB 114'!G70*(1-'All Rev &amp; Projects'!$B$24)))</f>
        <v>1995</v>
      </c>
      <c r="I32" s="932">
        <f t="shared" si="5"/>
        <v>2413.7492967459757</v>
      </c>
      <c r="J32" s="932">
        <f t="shared" si="9"/>
        <v>2623.6405399412779</v>
      </c>
      <c r="K32" s="932">
        <f t="shared" si="7"/>
        <v>0</v>
      </c>
      <c r="L32" s="932">
        <f t="shared" si="10"/>
        <v>2623.6405399412779</v>
      </c>
      <c r="N32" s="932">
        <f t="shared" si="6"/>
        <v>2623.6405399412779</v>
      </c>
      <c r="O32" s="947">
        <f t="shared" si="8"/>
        <v>0</v>
      </c>
      <c r="P32" s="932">
        <f t="shared" si="12"/>
        <v>2025</v>
      </c>
      <c r="Q32" s="932">
        <f t="shared" si="11"/>
        <v>2600</v>
      </c>
    </row>
    <row r="33" spans="1:17">
      <c r="A33" s="934">
        <v>2026</v>
      </c>
      <c r="B33" s="939"/>
      <c r="C33" s="940">
        <v>774073</v>
      </c>
      <c r="D33" s="940">
        <v>832907</v>
      </c>
      <c r="E33" s="940">
        <v>962799</v>
      </c>
      <c r="F33" s="940"/>
      <c r="G33" s="944">
        <f>IF('All Rev &amp; Projects'!$A$20,I71,IF('All Rev &amp; Projects'!$B$15="Yes",'PFD  Limits &amp; SB 114'!E71,'PFD  Limits &amp; SB 114'!G71*(1-'All Rev &amp; Projects'!$B$24)))</f>
        <v>2092</v>
      </c>
      <c r="I33" s="932">
        <f t="shared" si="5"/>
        <v>2511.6849780347625</v>
      </c>
      <c r="J33" s="932">
        <f t="shared" si="9"/>
        <v>2730.0923674290893</v>
      </c>
      <c r="K33" s="932">
        <f t="shared" si="7"/>
        <v>0</v>
      </c>
      <c r="L33" s="932">
        <f t="shared" si="10"/>
        <v>2730.0923674290893</v>
      </c>
      <c r="N33" s="932">
        <f t="shared" si="6"/>
        <v>2730.0923674290893</v>
      </c>
      <c r="O33" s="947">
        <f t="shared" si="8"/>
        <v>0</v>
      </c>
      <c r="P33" s="932">
        <f t="shared" si="12"/>
        <v>2026</v>
      </c>
      <c r="Q33" s="932">
        <f t="shared" si="11"/>
        <v>2750</v>
      </c>
    </row>
    <row r="34" spans="1:17">
      <c r="A34" s="934">
        <v>2027</v>
      </c>
      <c r="B34" s="939"/>
      <c r="C34" s="940">
        <v>775583</v>
      </c>
      <c r="D34" s="940">
        <v>839191</v>
      </c>
      <c r="E34" s="940">
        <v>980730</v>
      </c>
      <c r="F34" s="940"/>
      <c r="G34" s="944">
        <f>IF('All Rev &amp; Projects'!$A$20,I72,IF('All Rev &amp; Projects'!$B$15="Yes",'PFD  Limits &amp; SB 114'!E72,'PFD  Limits &amp; SB 114'!G72*(1-'All Rev &amp; Projects'!$B$24)))</f>
        <v>2192</v>
      </c>
      <c r="I34" s="932">
        <f t="shared" si="5"/>
        <v>2612.0394522820193</v>
      </c>
      <c r="J34" s="932">
        <f t="shared" si="9"/>
        <v>2839.1733176978469</v>
      </c>
      <c r="K34" s="932">
        <f t="shared" si="7"/>
        <v>0</v>
      </c>
      <c r="L34" s="932">
        <f t="shared" si="10"/>
        <v>2839.1733176978469</v>
      </c>
      <c r="N34" s="932">
        <f t="shared" si="6"/>
        <v>2839.1733176978469</v>
      </c>
      <c r="O34" s="947">
        <f t="shared" si="8"/>
        <v>0</v>
      </c>
      <c r="P34" s="932">
        <f t="shared" si="12"/>
        <v>2027</v>
      </c>
      <c r="Q34" s="932">
        <f t="shared" si="11"/>
        <v>2850</v>
      </c>
    </row>
    <row r="35" spans="1:17">
      <c r="A35" s="934">
        <v>2028</v>
      </c>
      <c r="B35" s="939"/>
      <c r="C35" s="940">
        <v>776899</v>
      </c>
      <c r="D35" s="940">
        <v>845347</v>
      </c>
      <c r="E35" s="940">
        <v>998866</v>
      </c>
      <c r="F35" s="940"/>
      <c r="G35" s="944">
        <f>IF('All Rev &amp; Projects'!$A$20,I73,IF('All Rev &amp; Projects'!$B$15="Yes",'PFD  Limits &amp; SB 114'!E73,'PFD  Limits &amp; SB 114'!G73*(1-'All Rev &amp; Projects'!$B$24)))</f>
        <v>2296</v>
      </c>
      <c r="I35" s="932">
        <f t="shared" si="5"/>
        <v>2716.04441726297</v>
      </c>
      <c r="J35" s="932">
        <f t="shared" si="9"/>
        <v>2952.2221926771413</v>
      </c>
      <c r="K35" s="932">
        <f t="shared" si="7"/>
        <v>0</v>
      </c>
      <c r="L35" s="932">
        <f t="shared" si="10"/>
        <v>2952.2221926771413</v>
      </c>
      <c r="N35" s="932">
        <f t="shared" si="6"/>
        <v>2952.2221926771413</v>
      </c>
      <c r="O35" s="947">
        <f t="shared" si="8"/>
        <v>0</v>
      </c>
      <c r="P35" s="932">
        <f t="shared" si="12"/>
        <v>2028</v>
      </c>
      <c r="Q35" s="932">
        <f t="shared" si="11"/>
        <v>2950</v>
      </c>
    </row>
    <row r="36" spans="1:17">
      <c r="A36" s="934">
        <v>2029</v>
      </c>
      <c r="B36" s="939"/>
      <c r="C36" s="940">
        <v>778033</v>
      </c>
      <c r="D36" s="940">
        <v>851377</v>
      </c>
      <c r="E36" s="940">
        <v>1017198</v>
      </c>
      <c r="F36" s="940"/>
      <c r="G36" s="944">
        <f>IF('All Rev &amp; Projects'!$A$20,I74,IF('All Rev &amp; Projects'!$B$15="Yes",'PFD  Limits &amp; SB 114'!E74,'PFD  Limits &amp; SB 114'!G74*(1-'All Rev &amp; Projects'!$B$24)))</f>
        <v>2402</v>
      </c>
      <c r="I36" s="932">
        <f t="shared" si="5"/>
        <v>2821.3118277801723</v>
      </c>
      <c r="J36" s="932">
        <f t="shared" si="9"/>
        <v>3066.6432910654044</v>
      </c>
      <c r="K36" s="932">
        <f t="shared" si="7"/>
        <v>0</v>
      </c>
      <c r="L36" s="932">
        <f t="shared" si="10"/>
        <v>3066.6432910654044</v>
      </c>
      <c r="N36" s="932">
        <f t="shared" si="6"/>
        <v>3066.6432910654044</v>
      </c>
      <c r="O36" s="947">
        <f t="shared" si="8"/>
        <v>0</v>
      </c>
      <c r="P36" s="932">
        <f t="shared" si="12"/>
        <v>2029</v>
      </c>
      <c r="Q36" s="932">
        <f t="shared" si="11"/>
        <v>3050</v>
      </c>
    </row>
    <row r="37" spans="1:17">
      <c r="A37" s="934">
        <v>2030</v>
      </c>
      <c r="B37" s="939"/>
      <c r="C37" s="940">
        <v>779016</v>
      </c>
      <c r="D37" s="940">
        <v>857326</v>
      </c>
      <c r="E37" s="940">
        <v>1035780</v>
      </c>
      <c r="F37" s="940"/>
      <c r="G37" s="944">
        <f>IF('All Rev &amp; Projects'!$A$20,I75,IF('All Rev &amp; Projects'!$B$15="Yes",'PFD  Limits &amp; SB 114'!E75,'PFD  Limits &amp; SB 114'!G75*(1-'All Rev &amp; Projects'!$B$24)))</f>
        <v>2512</v>
      </c>
      <c r="I37" s="932">
        <f t="shared" si="5"/>
        <v>2930.0406146553355</v>
      </c>
      <c r="J37" s="932">
        <f t="shared" si="9"/>
        <v>3184.8267550601472</v>
      </c>
      <c r="K37" s="932">
        <f t="shared" si="7"/>
        <v>0</v>
      </c>
      <c r="L37" s="932">
        <f t="shared" si="10"/>
        <v>3184.8267550601472</v>
      </c>
      <c r="N37" s="932">
        <f t="shared" si="6"/>
        <v>3184.8267550601472</v>
      </c>
      <c r="O37" s="947">
        <f t="shared" si="8"/>
        <v>0</v>
      </c>
      <c r="P37" s="932">
        <f t="shared" si="12"/>
        <v>2030</v>
      </c>
      <c r="Q37" s="932">
        <f t="shared" si="11"/>
        <v>3200</v>
      </c>
    </row>
    <row r="38" spans="1:17">
      <c r="A38" s="934">
        <v>2031</v>
      </c>
      <c r="B38" s="939"/>
      <c r="C38" s="940">
        <v>779832</v>
      </c>
      <c r="D38" s="940">
        <v>863153</v>
      </c>
      <c r="E38" s="940">
        <v>1054582</v>
      </c>
      <c r="F38" s="940"/>
      <c r="G38" s="944"/>
      <c r="O38" s="947"/>
    </row>
    <row r="39" spans="1:17">
      <c r="A39" s="934">
        <v>2032</v>
      </c>
      <c r="B39" s="939"/>
      <c r="C39" s="940">
        <v>780505</v>
      </c>
      <c r="D39" s="940">
        <v>868902</v>
      </c>
      <c r="E39" s="940">
        <v>1073641</v>
      </c>
      <c r="F39" s="940"/>
      <c r="G39" s="944"/>
    </row>
    <row r="40" spans="1:17">
      <c r="A40" s="934">
        <v>2033</v>
      </c>
      <c r="B40" s="939"/>
      <c r="C40" s="940">
        <v>781060</v>
      </c>
      <c r="D40" s="940">
        <v>874600</v>
      </c>
      <c r="E40" s="940">
        <v>1092982</v>
      </c>
      <c r="F40" s="942"/>
      <c r="G40" s="944"/>
    </row>
    <row r="41" spans="1:17">
      <c r="A41" s="934">
        <v>2034</v>
      </c>
      <c r="B41" s="941"/>
      <c r="C41" s="940">
        <v>781513</v>
      </c>
      <c r="D41" s="940">
        <v>880241</v>
      </c>
      <c r="E41" s="940">
        <v>1112659</v>
      </c>
      <c r="F41" s="942"/>
      <c r="G41" s="944"/>
    </row>
    <row r="42" spans="1:17">
      <c r="A42" s="934">
        <v>2035</v>
      </c>
      <c r="B42" s="939"/>
      <c r="C42" s="940">
        <v>781863</v>
      </c>
      <c r="D42" s="940">
        <v>885846</v>
      </c>
      <c r="E42" s="940">
        <v>1132642</v>
      </c>
      <c r="F42" s="942"/>
      <c r="G42" s="944"/>
    </row>
    <row r="43" spans="1:17">
      <c r="A43" s="934">
        <v>2036</v>
      </c>
      <c r="B43" s="939"/>
      <c r="C43" s="940">
        <v>782153</v>
      </c>
      <c r="D43" s="940">
        <v>891446</v>
      </c>
      <c r="E43" s="940">
        <v>1152996</v>
      </c>
      <c r="F43" s="942"/>
      <c r="G43" s="944"/>
    </row>
    <row r="44" spans="1:17">
      <c r="A44" s="934">
        <v>2037</v>
      </c>
      <c r="B44" s="939"/>
      <c r="C44" s="940">
        <v>782364</v>
      </c>
      <c r="D44" s="940">
        <v>897034</v>
      </c>
      <c r="E44" s="940">
        <v>1173722</v>
      </c>
      <c r="F44" s="942"/>
      <c r="G44" s="944"/>
    </row>
    <row r="45" spans="1:17">
      <c r="A45" s="934">
        <v>2038</v>
      </c>
      <c r="B45" s="939"/>
      <c r="C45" s="940">
        <v>782496</v>
      </c>
      <c r="D45" s="940">
        <v>902606</v>
      </c>
      <c r="E45" s="940">
        <v>1194825</v>
      </c>
      <c r="F45" s="942"/>
      <c r="G45" s="944"/>
    </row>
    <row r="46" spans="1:17">
      <c r="A46" s="934">
        <v>2039</v>
      </c>
      <c r="B46" s="939"/>
      <c r="C46" s="940">
        <v>782571</v>
      </c>
      <c r="D46" s="940">
        <v>908172</v>
      </c>
      <c r="E46" s="940">
        <v>1216342</v>
      </c>
      <c r="F46" s="942"/>
      <c r="G46" s="944"/>
      <c r="I46" s="947">
        <f>N22*D22</f>
        <v>1417391304.347826</v>
      </c>
    </row>
    <row r="47" spans="1:17">
      <c r="A47" s="934">
        <v>2040</v>
      </c>
      <c r="B47" s="939"/>
      <c r="C47" s="940">
        <v>782599</v>
      </c>
      <c r="D47" s="940">
        <v>913772</v>
      </c>
      <c r="E47" s="940">
        <v>1238288</v>
      </c>
      <c r="F47" s="942"/>
      <c r="G47" s="944"/>
    </row>
    <row r="48" spans="1:17">
      <c r="A48" s="934">
        <v>2041</v>
      </c>
      <c r="B48" s="939"/>
      <c r="C48" s="940">
        <v>782585</v>
      </c>
      <c r="D48" s="940">
        <v>919394</v>
      </c>
      <c r="E48" s="940">
        <v>1260668</v>
      </c>
      <c r="F48" s="942"/>
      <c r="G48" s="944"/>
    </row>
    <row r="49" spans="1:28">
      <c r="A49" s="934">
        <v>2042</v>
      </c>
      <c r="B49" s="939"/>
      <c r="C49" s="940">
        <v>782551</v>
      </c>
      <c r="D49" s="940">
        <v>925042</v>
      </c>
      <c r="E49" s="940">
        <v>1283534</v>
      </c>
      <c r="F49" s="942"/>
      <c r="G49" s="944"/>
    </row>
    <row r="51" spans="1:28">
      <c r="A51" s="932"/>
    </row>
    <row r="52" spans="1:28">
      <c r="A52" s="943" t="s">
        <v>737</v>
      </c>
    </row>
    <row r="57" spans="1:28" ht="10.5" customHeight="1"/>
    <row r="59" spans="1:28">
      <c r="E59" s="932" t="s">
        <v>743</v>
      </c>
      <c r="G59" s="932" t="s">
        <v>857</v>
      </c>
      <c r="I59" s="932" t="s">
        <v>747</v>
      </c>
      <c r="L59" s="932" t="s">
        <v>743</v>
      </c>
    </row>
    <row r="60" spans="1:28">
      <c r="D60" s="934">
        <f>A22</f>
        <v>2015</v>
      </c>
      <c r="E60" s="950">
        <f>'Extended Forecast'!Y21</f>
        <v>1304</v>
      </c>
      <c r="G60" s="944">
        <f>E60</f>
        <v>1304</v>
      </c>
      <c r="I60" s="944">
        <f>G60</f>
        <v>1304</v>
      </c>
      <c r="L60" s="944">
        <f>INDEX($E$60:$E$75,L61)</f>
        <v>1304</v>
      </c>
      <c r="M60" s="944">
        <f t="shared" ref="M60:X60" si="13">INDEX($E$60:$E$75,M61)</f>
        <v>1360</v>
      </c>
      <c r="N60" s="944">
        <f t="shared" si="13"/>
        <v>1491</v>
      </c>
      <c r="O60" s="944">
        <f t="shared" si="13"/>
        <v>1495</v>
      </c>
      <c r="P60" s="944">
        <f t="shared" si="13"/>
        <v>1450</v>
      </c>
      <c r="Q60" s="944">
        <f t="shared" si="13"/>
        <v>1558</v>
      </c>
      <c r="R60" s="944">
        <f t="shared" si="13"/>
        <v>1639</v>
      </c>
      <c r="S60" s="944">
        <f t="shared" si="13"/>
        <v>1722</v>
      </c>
      <c r="T60" s="944">
        <f t="shared" si="13"/>
        <v>1810</v>
      </c>
      <c r="U60" s="944">
        <f t="shared" si="13"/>
        <v>1901</v>
      </c>
      <c r="V60" s="944">
        <f t="shared" si="13"/>
        <v>1995</v>
      </c>
      <c r="W60" s="944">
        <f t="shared" si="13"/>
        <v>2092</v>
      </c>
      <c r="X60" s="944">
        <f t="shared" si="13"/>
        <v>2192</v>
      </c>
      <c r="Y60" s="944">
        <f>INDEX($E$60:$E$75,Y61)</f>
        <v>2296</v>
      </c>
      <c r="Z60" s="944">
        <f>INDEX($E$60:$E$75,Z61)</f>
        <v>2402</v>
      </c>
      <c r="AA60" s="944">
        <f>INDEX($E$60:$E$75,AA61)</f>
        <v>2512</v>
      </c>
      <c r="AB60" s="944"/>
    </row>
    <row r="61" spans="1:28">
      <c r="D61" s="934">
        <f t="shared" ref="D61:D75" si="14">A23</f>
        <v>2016</v>
      </c>
      <c r="E61" s="950">
        <f>'Extended Forecast'!Y22</f>
        <v>1360</v>
      </c>
      <c r="G61" s="932">
        <f>Endowment!N61</f>
        <v>1839.328</v>
      </c>
      <c r="I61" s="932">
        <v>1105.3595091663919</v>
      </c>
      <c r="L61" s="932">
        <v>1</v>
      </c>
      <c r="M61" s="932">
        <v>2</v>
      </c>
      <c r="N61" s="932">
        <v>3</v>
      </c>
      <c r="O61" s="932">
        <v>4</v>
      </c>
      <c r="P61" s="932">
        <v>5</v>
      </c>
      <c r="Q61" s="932">
        <v>6</v>
      </c>
      <c r="R61" s="932">
        <v>7</v>
      </c>
      <c r="S61" s="932">
        <v>8</v>
      </c>
      <c r="T61" s="932">
        <v>9</v>
      </c>
      <c r="U61" s="932">
        <v>10</v>
      </c>
      <c r="V61" s="932">
        <v>11</v>
      </c>
      <c r="W61" s="932">
        <v>12</v>
      </c>
      <c r="X61" s="932">
        <v>13</v>
      </c>
      <c r="Y61" s="932">
        <v>14</v>
      </c>
      <c r="Z61" s="932">
        <v>15</v>
      </c>
      <c r="AA61" s="932">
        <v>16</v>
      </c>
    </row>
    <row r="62" spans="1:28">
      <c r="D62" s="934">
        <f t="shared" si="14"/>
        <v>2017</v>
      </c>
      <c r="E62" s="950">
        <f>'Extended Forecast'!Y23</f>
        <v>1491</v>
      </c>
      <c r="G62" s="932">
        <f>Endowment!O61</f>
        <v>1956.8717800000002</v>
      </c>
      <c r="I62" s="932">
        <v>1509.2025604559246</v>
      </c>
    </row>
    <row r="63" spans="1:28">
      <c r="D63" s="934">
        <f t="shared" si="14"/>
        <v>2018</v>
      </c>
      <c r="E63" s="950">
        <f>'Extended Forecast'!Y24</f>
        <v>1495</v>
      </c>
      <c r="G63" s="932">
        <f>Endowment!P61</f>
        <v>2084.1934242299999</v>
      </c>
      <c r="I63" s="932">
        <v>1453.3803747014958</v>
      </c>
    </row>
    <row r="64" spans="1:28">
      <c r="D64" s="934">
        <f t="shared" si="14"/>
        <v>2019</v>
      </c>
      <c r="E64" s="950">
        <f>'Extended Forecast'!Y25</f>
        <v>1450</v>
      </c>
      <c r="G64" s="932">
        <f>Endowment!Q61</f>
        <v>2186.362654186305</v>
      </c>
      <c r="I64" s="932">
        <v>1475.6574134576626</v>
      </c>
    </row>
    <row r="65" spans="4:9">
      <c r="D65" s="934">
        <f t="shared" si="14"/>
        <v>2020</v>
      </c>
      <c r="E65" s="950">
        <f>'Extended Forecast'!Y26</f>
        <v>1558</v>
      </c>
      <c r="G65" s="932">
        <f>Endowment!R61</f>
        <v>2248.510590551432</v>
      </c>
      <c r="I65" s="932">
        <v>1566.6814625063205</v>
      </c>
    </row>
    <row r="66" spans="4:9">
      <c r="D66" s="934">
        <f t="shared" si="14"/>
        <v>2021</v>
      </c>
      <c r="E66" s="950">
        <f>'Extended Forecast'!Y27</f>
        <v>1639</v>
      </c>
      <c r="G66" s="932">
        <f>Endowment!S61</f>
        <v>2304.2718602786035</v>
      </c>
      <c r="I66" s="932">
        <v>1478.5862937028983</v>
      </c>
    </row>
    <row r="67" spans="4:9">
      <c r="D67" s="934">
        <f t="shared" si="14"/>
        <v>2022</v>
      </c>
      <c r="E67" s="950">
        <f>'Extended Forecast'!Y28</f>
        <v>1722</v>
      </c>
      <c r="G67" s="932">
        <f>Endowment!T61</f>
        <v>2359.7428972117668</v>
      </c>
      <c r="I67" s="932">
        <v>1380.2240529983176</v>
      </c>
    </row>
    <row r="68" spans="4:9">
      <c r="D68" s="934">
        <f t="shared" si="14"/>
        <v>2023</v>
      </c>
      <c r="E68" s="950">
        <f>'Extended Forecast'!Y29</f>
        <v>1810</v>
      </c>
      <c r="G68" s="932">
        <f>Endowment!U61</f>
        <v>2415.402433978626</v>
      </c>
      <c r="I68" s="932">
        <v>1332.6673901992156</v>
      </c>
    </row>
    <row r="69" spans="4:9">
      <c r="D69" s="934">
        <f t="shared" si="14"/>
        <v>2024</v>
      </c>
      <c r="E69" s="950">
        <f>'Extended Forecast'!Y30</f>
        <v>1901</v>
      </c>
      <c r="G69" s="932">
        <f>Endowment!V61</f>
        <v>2471.835360178658</v>
      </c>
      <c r="I69" s="932">
        <v>1269.2359431438699</v>
      </c>
    </row>
    <row r="70" spans="4:9">
      <c r="D70" s="934">
        <f t="shared" si="14"/>
        <v>2025</v>
      </c>
      <c r="E70" s="950">
        <f>'Extended Forecast'!Y31</f>
        <v>1995</v>
      </c>
      <c r="G70" s="932">
        <f>Endowment!W61</f>
        <v>2529.4551296920522</v>
      </c>
      <c r="I70" s="932">
        <v>1151.570862740228</v>
      </c>
    </row>
    <row r="71" spans="4:9">
      <c r="D71" s="934">
        <f t="shared" si="14"/>
        <v>2026</v>
      </c>
      <c r="E71" s="950">
        <f>'Extended Forecast'!Y32</f>
        <v>2092</v>
      </c>
      <c r="G71" s="932">
        <f>Endowment!X61</f>
        <v>2588.3709587173962</v>
      </c>
      <c r="I71" s="932">
        <v>1056.4875495193794</v>
      </c>
    </row>
    <row r="72" spans="4:9">
      <c r="D72" s="934">
        <f t="shared" si="14"/>
        <v>2027</v>
      </c>
      <c r="E72" s="950">
        <f>'Extended Forecast'!Y33</f>
        <v>2192</v>
      </c>
      <c r="G72" s="932">
        <f>Endowment!Y61</f>
        <v>2648.6373184402883</v>
      </c>
      <c r="I72" s="932">
        <v>975.72610259379837</v>
      </c>
    </row>
    <row r="73" spans="4:9">
      <c r="D73" s="934">
        <f t="shared" si="14"/>
        <v>2028</v>
      </c>
      <c r="E73" s="950">
        <f>'Extended Forecast'!Y34</f>
        <v>2296</v>
      </c>
      <c r="G73" s="932">
        <f>Endowment!Z61</f>
        <v>2710.2989039163094</v>
      </c>
      <c r="I73" s="932">
        <v>908.22426821533725</v>
      </c>
    </row>
    <row r="74" spans="4:9">
      <c r="D74" s="934">
        <f t="shared" si="14"/>
        <v>2029</v>
      </c>
      <c r="E74" s="950">
        <f>'Extended Forecast'!Y35</f>
        <v>2402</v>
      </c>
      <c r="G74" s="932">
        <f>Endowment!AA61</f>
        <v>2773.3935051396047</v>
      </c>
      <c r="I74" s="932">
        <v>841.25272153649507</v>
      </c>
    </row>
    <row r="75" spans="4:9">
      <c r="D75" s="934">
        <f t="shared" si="14"/>
        <v>2030</v>
      </c>
      <c r="E75" s="950">
        <f>'Extended Forecast'!Y36</f>
        <v>2512</v>
      </c>
      <c r="G75" s="932">
        <f>Endowment!AB61</f>
        <v>2837.955959178445</v>
      </c>
      <c r="I75" s="932">
        <v>783.11245708947001</v>
      </c>
    </row>
    <row r="76" spans="4:9">
      <c r="E76" s="950"/>
    </row>
    <row r="77" spans="4:9">
      <c r="E77" s="950"/>
    </row>
    <row r="78" spans="4:9">
      <c r="E78" s="950"/>
    </row>
    <row r="79" spans="4:9">
      <c r="E79" s="950"/>
    </row>
    <row r="80" spans="4:9">
      <c r="E80" s="950"/>
    </row>
    <row r="81" spans="5:5">
      <c r="E81" s="950"/>
    </row>
    <row r="82" spans="5:5">
      <c r="E82" s="950"/>
    </row>
    <row r="83" spans="5:5">
      <c r="E83" s="950"/>
    </row>
    <row r="84" spans="5:5">
      <c r="E84" s="950"/>
    </row>
    <row r="85" spans="5:5">
      <c r="E85" s="950"/>
    </row>
    <row r="86" spans="5:5">
      <c r="E86" s="950"/>
    </row>
    <row r="87" spans="5:5">
      <c r="E87" s="950"/>
    </row>
    <row r="88" spans="5:5">
      <c r="E88" s="950"/>
    </row>
  </sheetData>
  <sheetProtection password="CC29" sheet="1" objects="1" scenarios="1" selectLockedCells="1" selectUnlockedCells="1"/>
  <mergeCells count="2">
    <mergeCell ref="C4:E4"/>
    <mergeCell ref="C3:E3"/>
  </mergeCells>
  <hyperlinks>
    <hyperlink ref="A2" location="TableOfContents!A1" display="Return"/>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indexed="46"/>
    <pageSetUpPr fitToPage="1"/>
  </sheetPr>
  <dimension ref="A1:DC144"/>
  <sheetViews>
    <sheetView workbookViewId="0">
      <selection activeCell="B6" sqref="B6:S6"/>
    </sheetView>
  </sheetViews>
  <sheetFormatPr defaultColWidth="9.140625" defaultRowHeight="12.75"/>
  <cols>
    <col min="1" max="1" width="4.140625" style="422" customWidth="1"/>
    <col min="2" max="2" width="5" style="422" customWidth="1"/>
    <col min="3" max="3" width="1.28515625" style="422" customWidth="1"/>
    <col min="4" max="4" width="7.85546875" style="422" customWidth="1"/>
    <col min="5" max="5" width="2.140625" style="422" customWidth="1"/>
    <col min="6" max="6" width="7.5703125" style="422" customWidth="1"/>
    <col min="7" max="7" width="2.140625" style="422" customWidth="1"/>
    <col min="8" max="8" width="7.28515625" style="422" customWidth="1"/>
    <col min="9" max="9" width="2.140625" style="422" customWidth="1"/>
    <col min="10" max="10" width="6.7109375" style="422" customWidth="1"/>
    <col min="11" max="11" width="2.140625" style="422" customWidth="1"/>
    <col min="12" max="12" width="8.28515625" style="422" customWidth="1"/>
    <col min="13" max="14" width="1.140625" style="422" customWidth="1"/>
    <col min="15" max="15" width="8.28515625" style="422" customWidth="1"/>
    <col min="16" max="16" width="2.140625" style="422" customWidth="1"/>
    <col min="17" max="17" width="8.85546875" style="422" customWidth="1"/>
    <col min="18" max="18" width="2.28515625" style="422" customWidth="1"/>
    <col min="19" max="19" width="10.7109375" style="422" customWidth="1"/>
    <col min="20" max="20" width="1.5703125" style="422" customWidth="1"/>
    <col min="21" max="21" width="7.140625" style="422" bestFit="1" customWidth="1"/>
    <col min="22" max="22" width="2.42578125" style="422" customWidth="1"/>
    <col min="23" max="23" width="7.28515625" style="422" customWidth="1"/>
    <col min="24" max="24" width="13" style="422" bestFit="1" customWidth="1"/>
    <col min="25" max="25" width="7.7109375" style="422" customWidth="1"/>
    <col min="26" max="26" width="1.85546875" style="422" customWidth="1"/>
    <col min="27" max="27" width="9.7109375" style="422" customWidth="1"/>
    <col min="28" max="28" width="2.7109375" style="422" bestFit="1" customWidth="1"/>
    <col min="29" max="29" width="8.42578125" style="422" customWidth="1"/>
    <col min="30" max="30" width="2.140625" style="422" bestFit="1" customWidth="1"/>
    <col min="31" max="31" width="9" style="422" customWidth="1"/>
    <col min="32" max="33" width="1.140625" style="422" customWidth="1"/>
    <col min="34" max="34" width="7.5703125" style="422" customWidth="1"/>
    <col min="35" max="35" width="1.42578125" style="422" customWidth="1"/>
    <col min="36" max="36" width="7.5703125" style="422" customWidth="1"/>
    <col min="37" max="37" width="1.85546875" style="422" customWidth="1"/>
    <col min="38" max="38" width="9.5703125" style="422" bestFit="1" customWidth="1"/>
    <col min="39" max="39" width="8.85546875" style="422" customWidth="1"/>
    <col min="40" max="40" width="1" style="422" customWidth="1"/>
    <col min="41" max="41" width="7" style="422" customWidth="1"/>
    <col min="42" max="42" width="1.28515625" style="422" customWidth="1"/>
    <col min="43" max="43" width="8" style="422" customWidth="1"/>
    <col min="44" max="44" width="1.5703125" style="422" customWidth="1"/>
    <col min="45" max="45" width="4.85546875" style="422" hidden="1" customWidth="1"/>
    <col min="46" max="46" width="4.28515625" style="422" customWidth="1"/>
    <col min="47" max="47" width="11.5703125" style="422" customWidth="1"/>
    <col min="48" max="48" width="8.7109375" style="422" customWidth="1"/>
    <col min="49" max="49" width="10" style="422" customWidth="1"/>
    <col min="50" max="50" width="12.42578125" style="422" customWidth="1"/>
    <col min="51" max="51" width="9.7109375" style="422" customWidth="1"/>
    <col min="52" max="52" width="13.85546875" style="422" bestFit="1" customWidth="1"/>
    <col min="53" max="53" width="13.85546875" style="422" customWidth="1"/>
    <col min="54" max="54" width="16.28515625" style="422" customWidth="1"/>
    <col min="55" max="55" width="11.5703125" style="422" bestFit="1" customWidth="1"/>
    <col min="56" max="57" width="13" style="422" customWidth="1"/>
    <col min="58" max="71" width="12.140625" style="422" customWidth="1"/>
    <col min="72" max="72" width="9.140625" style="422" customWidth="1"/>
    <col min="73" max="73" width="3.140625" style="422" customWidth="1"/>
    <col min="74" max="74" width="12.42578125" style="422" customWidth="1"/>
    <col min="75" max="75" width="16.140625" style="422" bestFit="1" customWidth="1"/>
    <col min="76" max="76" width="13.140625" style="422" bestFit="1" customWidth="1"/>
    <col min="77" max="77" width="13.7109375" style="422" bestFit="1" customWidth="1"/>
    <col min="78" max="78" width="16.7109375" style="422" customWidth="1"/>
    <col min="79" max="79" width="13.7109375" style="422" bestFit="1" customWidth="1"/>
    <col min="80" max="80" width="15.28515625" style="422" customWidth="1"/>
    <col min="81" max="81" width="13.140625" style="422" bestFit="1" customWidth="1"/>
    <col min="82" max="82" width="13.42578125" style="422" bestFit="1" customWidth="1"/>
    <col min="83" max="86" width="13.5703125" style="422" bestFit="1" customWidth="1"/>
    <col min="87" max="87" width="13.140625" style="422" bestFit="1" customWidth="1"/>
    <col min="88" max="88" width="13.42578125" style="422" bestFit="1" customWidth="1"/>
    <col min="89" max="89" width="11.7109375" style="422" customWidth="1"/>
    <col min="90" max="90" width="7.5703125" style="422" customWidth="1"/>
    <col min="91" max="91" width="10.140625" style="422" customWidth="1"/>
    <col min="92" max="92" width="12.5703125" style="422" bestFit="1" customWidth="1"/>
    <col min="93" max="101" width="10.140625" style="422" customWidth="1"/>
    <col min="102" max="107" width="9.140625" style="422" customWidth="1"/>
    <col min="108" max="16384" width="9.140625" style="422"/>
  </cols>
  <sheetData>
    <row r="1" spans="1:104" ht="24.75" customHeight="1">
      <c r="B1" s="423"/>
      <c r="C1" s="423"/>
      <c r="D1" s="424"/>
      <c r="E1" s="423"/>
      <c r="F1" s="423"/>
      <c r="G1" s="423"/>
      <c r="H1" s="423"/>
      <c r="I1" s="423"/>
      <c r="J1" s="425"/>
      <c r="K1" s="426"/>
      <c r="L1" s="1186" t="s">
        <v>548</v>
      </c>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423"/>
      <c r="AO1" s="423"/>
      <c r="AP1" s="423"/>
      <c r="AQ1" s="423"/>
      <c r="AR1" s="423"/>
      <c r="AS1" s="423"/>
      <c r="AT1" s="423"/>
    </row>
    <row r="2" spans="1:104" ht="22.5">
      <c r="B2" s="423"/>
      <c r="C2" s="423"/>
      <c r="D2" s="424"/>
      <c r="E2" s="423"/>
      <c r="F2" s="423"/>
      <c r="G2" s="423"/>
      <c r="H2" s="423"/>
      <c r="I2" s="423"/>
      <c r="J2" s="425"/>
      <c r="K2" s="426"/>
      <c r="L2" s="1186" t="str">
        <f>"FUND FINANCIAL HISTORY &amp; PROJECTIONS"</f>
        <v>FUND FINANCIAL HISTORY &amp; PROJECTIONS</v>
      </c>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423"/>
      <c r="AO2" s="423"/>
      <c r="AP2" s="423"/>
      <c r="AQ2" s="423"/>
      <c r="AR2" s="423"/>
      <c r="AS2" s="423"/>
      <c r="AT2" s="423"/>
      <c r="CE2" s="427"/>
    </row>
    <row r="3" spans="1:104" ht="18">
      <c r="B3" s="428"/>
      <c r="C3" s="428"/>
      <c r="D3" s="429"/>
      <c r="E3" s="428"/>
      <c r="F3" s="428"/>
      <c r="G3" s="428"/>
      <c r="H3" s="428"/>
      <c r="I3" s="428"/>
      <c r="J3" s="430"/>
      <c r="K3" s="431"/>
      <c r="L3" s="1187" t="s">
        <v>727</v>
      </c>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432"/>
      <c r="AO3" s="432"/>
      <c r="AP3" s="432"/>
      <c r="AQ3" s="428"/>
      <c r="AR3" s="428"/>
      <c r="AS3" s="428"/>
      <c r="AT3" s="428"/>
      <c r="CE3" s="427"/>
    </row>
    <row r="4" spans="1:104" s="433" customFormat="1" ht="18.75" customHeight="1">
      <c r="B4" s="434"/>
      <c r="C4" s="434"/>
      <c r="D4" s="435"/>
      <c r="E4" s="434"/>
      <c r="F4" s="434"/>
      <c r="G4" s="434"/>
      <c r="H4" s="434"/>
      <c r="I4" s="434"/>
      <c r="J4" s="436"/>
      <c r="K4" s="437"/>
      <c r="L4" s="1188" t="s">
        <v>549</v>
      </c>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438"/>
      <c r="AO4" s="438"/>
      <c r="AP4" s="438"/>
      <c r="AQ4" s="434"/>
      <c r="AR4" s="434"/>
      <c r="AS4" s="434"/>
      <c r="AT4" s="434"/>
    </row>
    <row r="5" spans="1:104" ht="3" customHeight="1">
      <c r="B5" s="439"/>
      <c r="C5" s="440"/>
      <c r="D5" s="441"/>
      <c r="E5" s="442"/>
      <c r="F5" s="442"/>
      <c r="G5" s="442"/>
      <c r="H5" s="443"/>
      <c r="I5" s="444"/>
      <c r="J5" s="444"/>
      <c r="K5" s="445"/>
      <c r="L5" s="446"/>
      <c r="M5" s="446"/>
      <c r="N5" s="446"/>
      <c r="O5" s="446"/>
      <c r="P5" s="446"/>
      <c r="Q5" s="446"/>
      <c r="R5" s="446"/>
      <c r="S5" s="446"/>
      <c r="T5" s="447"/>
      <c r="U5" s="448"/>
      <c r="V5" s="444"/>
      <c r="W5" s="444"/>
      <c r="X5" s="444"/>
      <c r="Y5" s="444"/>
      <c r="Z5" s="444"/>
      <c r="AA5" s="449"/>
      <c r="AB5" s="449"/>
      <c r="AC5" s="444"/>
      <c r="AD5" s="444"/>
      <c r="AE5" s="444"/>
      <c r="AF5" s="444"/>
      <c r="AG5" s="444"/>
      <c r="AH5" s="444"/>
      <c r="AI5" s="444"/>
      <c r="AJ5" s="444"/>
      <c r="AK5" s="444"/>
      <c r="AL5" s="444"/>
      <c r="AM5" s="444"/>
      <c r="AN5" s="450"/>
      <c r="AO5" s="451"/>
      <c r="AP5" s="452"/>
      <c r="AQ5" s="439"/>
      <c r="AR5" s="453"/>
      <c r="AS5" s="454"/>
      <c r="AT5" s="454"/>
      <c r="BV5" s="455"/>
      <c r="BW5" s="455"/>
      <c r="BX5" s="455"/>
      <c r="BY5" s="455"/>
      <c r="BZ5" s="455"/>
      <c r="CA5" s="455"/>
      <c r="CB5" s="455"/>
      <c r="CC5" s="455"/>
      <c r="CD5" s="455"/>
      <c r="CE5" s="455"/>
      <c r="CF5" s="455"/>
      <c r="CG5" s="455"/>
      <c r="CH5" s="455"/>
      <c r="CI5" s="455"/>
      <c r="CJ5" s="455"/>
      <c r="CK5" s="455"/>
      <c r="CL5" s="455"/>
      <c r="CM5" s="455"/>
      <c r="CN5" s="455"/>
      <c r="CO5" s="455"/>
      <c r="CP5" s="455"/>
      <c r="CQ5" s="455"/>
      <c r="CR5" s="455"/>
      <c r="CS5" s="455"/>
      <c r="CT5" s="455"/>
      <c r="CU5" s="455"/>
      <c r="CV5" s="455"/>
      <c r="CW5" s="455"/>
      <c r="CX5" s="455"/>
      <c r="CY5" s="455"/>
      <c r="CZ5" s="455"/>
    </row>
    <row r="6" spans="1:104" ht="12.75" customHeight="1" thickBot="1">
      <c r="B6" s="1189" t="s">
        <v>550</v>
      </c>
      <c r="C6" s="1190"/>
      <c r="D6" s="1190"/>
      <c r="E6" s="1190"/>
      <c r="F6" s="1190"/>
      <c r="G6" s="1190"/>
      <c r="H6" s="1190"/>
      <c r="I6" s="1190"/>
      <c r="J6" s="1190"/>
      <c r="K6" s="1190"/>
      <c r="L6" s="1190"/>
      <c r="M6" s="1190"/>
      <c r="N6" s="1190"/>
      <c r="O6" s="1190"/>
      <c r="P6" s="1190"/>
      <c r="Q6" s="1190"/>
      <c r="R6" s="1190"/>
      <c r="S6" s="1190"/>
      <c r="T6" s="456"/>
      <c r="U6" s="1191" t="s">
        <v>551</v>
      </c>
      <c r="V6" s="1192"/>
      <c r="W6" s="1192"/>
      <c r="X6" s="1192"/>
      <c r="Y6" s="1192"/>
      <c r="Z6" s="1192"/>
      <c r="AA6" s="1192"/>
      <c r="AB6" s="1192"/>
      <c r="AC6" s="1192"/>
      <c r="AD6" s="1192"/>
      <c r="AE6" s="1192"/>
      <c r="AF6" s="1192"/>
      <c r="AG6" s="1192"/>
      <c r="AH6" s="1192"/>
      <c r="AI6" s="1192"/>
      <c r="AJ6" s="1192"/>
      <c r="AK6" s="1192"/>
      <c r="AL6" s="1192"/>
      <c r="AM6" s="1192"/>
      <c r="AN6" s="1192"/>
      <c r="AO6" s="1193"/>
      <c r="AP6" s="457"/>
      <c r="AQ6" s="1194" t="s">
        <v>552</v>
      </c>
      <c r="AR6" s="1195"/>
      <c r="AS6" s="458"/>
      <c r="AT6" s="458"/>
      <c r="BV6" s="455"/>
      <c r="BW6" s="455"/>
      <c r="BX6" s="455"/>
      <c r="BY6" s="455"/>
      <c r="BZ6" s="455"/>
      <c r="CA6" s="455"/>
      <c r="CB6" s="455"/>
      <c r="CC6" s="455"/>
      <c r="CD6" s="455"/>
      <c r="CE6" s="455"/>
      <c r="CF6" s="455"/>
      <c r="CG6" s="455"/>
      <c r="CH6" s="455"/>
      <c r="CI6" s="455"/>
      <c r="CJ6" s="455"/>
      <c r="CK6" s="455"/>
      <c r="CL6" s="455"/>
      <c r="CM6" s="455"/>
      <c r="CN6" s="455"/>
      <c r="CO6" s="455"/>
      <c r="CP6" s="455"/>
      <c r="CQ6" s="455"/>
      <c r="CR6" s="455"/>
      <c r="CS6" s="455"/>
      <c r="CT6" s="455"/>
      <c r="CU6" s="455"/>
      <c r="CV6" s="455"/>
      <c r="CW6" s="455"/>
      <c r="CX6" s="455"/>
      <c r="CY6" s="455"/>
      <c r="CZ6" s="455"/>
    </row>
    <row r="7" spans="1:104" ht="12.75" customHeight="1">
      <c r="B7" s="459"/>
      <c r="C7" s="454"/>
      <c r="D7" s="460"/>
      <c r="E7" s="454"/>
      <c r="F7" s="454"/>
      <c r="G7" s="454"/>
      <c r="H7" s="454"/>
      <c r="I7" s="454"/>
      <c r="J7" s="461"/>
      <c r="K7" s="462"/>
      <c r="L7" s="461"/>
      <c r="M7" s="461"/>
      <c r="N7" s="461"/>
      <c r="O7" s="1196" t="s">
        <v>553</v>
      </c>
      <c r="P7" s="1196"/>
      <c r="Q7" s="1196"/>
      <c r="R7" s="903"/>
      <c r="S7" s="903"/>
      <c r="T7" s="463"/>
      <c r="U7" s="464"/>
      <c r="V7" s="461"/>
      <c r="W7" s="461"/>
      <c r="X7" s="461"/>
      <c r="Y7" s="1197" t="s">
        <v>554</v>
      </c>
      <c r="Z7" s="1198"/>
      <c r="AA7" s="1198"/>
      <c r="AB7" s="1198"/>
      <c r="AC7" s="1198"/>
      <c r="AD7" s="461"/>
      <c r="AE7" s="461"/>
      <c r="AF7" s="461"/>
      <c r="AG7" s="461"/>
      <c r="AH7" s="1196" t="s">
        <v>553</v>
      </c>
      <c r="AI7" s="1196"/>
      <c r="AJ7" s="1196"/>
      <c r="AN7" s="465"/>
      <c r="AO7" s="466"/>
      <c r="AP7" s="457"/>
      <c r="AQ7" s="1194" t="s">
        <v>555</v>
      </c>
      <c r="AR7" s="1195"/>
      <c r="AS7" s="458"/>
      <c r="AT7" s="458"/>
      <c r="AZ7" s="467"/>
      <c r="BA7" s="468"/>
      <c r="BB7" s="469" t="s">
        <v>556</v>
      </c>
      <c r="BC7" s="469" t="s">
        <v>556</v>
      </c>
      <c r="BD7" s="469" t="s">
        <v>556</v>
      </c>
      <c r="BE7" s="470" t="s">
        <v>556</v>
      </c>
      <c r="BV7" s="455"/>
      <c r="BW7" s="455"/>
      <c r="BX7" s="455"/>
      <c r="BY7" s="455"/>
      <c r="BZ7" s="455"/>
      <c r="CA7" s="455"/>
      <c r="CB7" s="455"/>
      <c r="CC7" s="455"/>
      <c r="CD7" s="455"/>
      <c r="CE7" s="455"/>
      <c r="CF7" s="455"/>
      <c r="CG7" s="455"/>
      <c r="CH7" s="455"/>
      <c r="CI7" s="455"/>
      <c r="CJ7" s="455"/>
      <c r="CK7" s="455"/>
      <c r="CL7" s="455"/>
      <c r="CM7" s="455"/>
      <c r="CN7" s="455"/>
      <c r="CO7" s="455"/>
      <c r="CP7" s="455"/>
      <c r="CQ7" s="455"/>
      <c r="CR7" s="455"/>
      <c r="CS7" s="455"/>
      <c r="CT7" s="455"/>
      <c r="CU7" s="455"/>
      <c r="CV7" s="455"/>
      <c r="CW7" s="455"/>
      <c r="CX7" s="455"/>
      <c r="CY7" s="455"/>
      <c r="CZ7" s="455"/>
    </row>
    <row r="8" spans="1:104" ht="12.75" customHeight="1">
      <c r="B8" s="471"/>
      <c r="C8" s="472"/>
      <c r="D8" s="473" t="s">
        <v>557</v>
      </c>
      <c r="E8" s="474"/>
      <c r="F8" s="474"/>
      <c r="G8" s="474"/>
      <c r="H8" s="904" t="s">
        <v>558</v>
      </c>
      <c r="I8" s="475">
        <v>-2</v>
      </c>
      <c r="J8" s="476"/>
      <c r="K8" s="476"/>
      <c r="L8" s="476" t="s">
        <v>559</v>
      </c>
      <c r="M8" s="477"/>
      <c r="N8" s="476"/>
      <c r="O8" s="1184" t="s">
        <v>560</v>
      </c>
      <c r="P8" s="1184"/>
      <c r="Q8" s="1184"/>
      <c r="R8" s="903"/>
      <c r="S8" s="476" t="s">
        <v>561</v>
      </c>
      <c r="T8" s="463"/>
      <c r="U8" s="478" t="s">
        <v>562</v>
      </c>
      <c r="V8" s="479"/>
      <c r="W8" s="479" t="s">
        <v>563</v>
      </c>
      <c r="X8" s="479"/>
      <c r="Y8" s="1185" t="s">
        <v>202</v>
      </c>
      <c r="Z8" s="1185"/>
      <c r="AA8" s="1185"/>
      <c r="AB8" s="1185"/>
      <c r="AC8" s="1185"/>
      <c r="AD8" s="476"/>
      <c r="AE8" s="476" t="s">
        <v>564</v>
      </c>
      <c r="AF8" s="477"/>
      <c r="AG8" s="476"/>
      <c r="AH8" s="1184" t="s">
        <v>560</v>
      </c>
      <c r="AI8" s="1184"/>
      <c r="AJ8" s="1184"/>
      <c r="AK8" s="480"/>
      <c r="AL8" s="481" t="s">
        <v>565</v>
      </c>
      <c r="AM8" s="476" t="s">
        <v>564</v>
      </c>
      <c r="AN8" s="903"/>
      <c r="AO8" s="466"/>
      <c r="AP8" s="482"/>
      <c r="AQ8" s="483"/>
      <c r="AR8" s="899"/>
      <c r="AS8" s="465"/>
      <c r="AT8" s="465"/>
      <c r="AU8" s="484"/>
      <c r="AV8" s="485"/>
      <c r="AW8" s="486"/>
      <c r="AX8" s="486"/>
      <c r="AY8" s="486"/>
      <c r="AZ8" s="487"/>
      <c r="BA8" s="488" t="s">
        <v>566</v>
      </c>
      <c r="BB8" s="489" t="s">
        <v>567</v>
      </c>
      <c r="BC8" s="489" t="s">
        <v>567</v>
      </c>
      <c r="BD8" s="489" t="s">
        <v>567</v>
      </c>
      <c r="BE8" s="490" t="s">
        <v>567</v>
      </c>
      <c r="BF8" s="491"/>
      <c r="BG8" s="491"/>
      <c r="BH8" s="491"/>
      <c r="BI8" s="491"/>
      <c r="BJ8" s="491"/>
      <c r="BK8" s="491"/>
      <c r="BL8" s="491"/>
      <c r="BM8" s="491"/>
      <c r="BN8" s="491"/>
      <c r="BO8" s="491"/>
      <c r="BP8" s="491"/>
      <c r="BQ8" s="491"/>
      <c r="BR8" s="491"/>
      <c r="BS8" s="491"/>
      <c r="BV8" s="455"/>
      <c r="BW8" s="455"/>
      <c r="BX8" s="455"/>
      <c r="BY8" s="455"/>
      <c r="BZ8" s="455"/>
      <c r="CA8" s="455"/>
      <c r="CB8" s="455"/>
      <c r="CC8" s="455"/>
      <c r="CD8" s="455"/>
      <c r="CE8" s="455"/>
      <c r="CF8" s="455"/>
      <c r="CG8" s="455"/>
      <c r="CH8" s="455"/>
      <c r="CI8" s="455"/>
      <c r="CJ8" s="455"/>
      <c r="CK8" s="455"/>
      <c r="CL8" s="455"/>
      <c r="CM8" s="455"/>
      <c r="CN8" s="455"/>
      <c r="CO8" s="455"/>
      <c r="CP8" s="455"/>
      <c r="CQ8" s="455"/>
      <c r="CR8" s="455"/>
      <c r="CS8" s="455"/>
      <c r="CT8" s="455"/>
      <c r="CU8" s="455"/>
      <c r="CV8" s="455"/>
      <c r="CW8" s="455"/>
      <c r="CX8" s="455"/>
      <c r="CY8" s="455"/>
      <c r="CZ8" s="455"/>
    </row>
    <row r="9" spans="1:104" ht="12.75" customHeight="1">
      <c r="B9" s="471"/>
      <c r="C9" s="472"/>
      <c r="D9" s="492" t="s">
        <v>568</v>
      </c>
      <c r="E9" s="474"/>
      <c r="F9" s="474" t="s">
        <v>569</v>
      </c>
      <c r="G9" s="475">
        <v>-1</v>
      </c>
      <c r="H9" s="474" t="s">
        <v>67</v>
      </c>
      <c r="I9" s="493"/>
      <c r="J9" s="476" t="s">
        <v>570</v>
      </c>
      <c r="K9" s="475"/>
      <c r="L9" s="476" t="s">
        <v>571</v>
      </c>
      <c r="M9" s="477"/>
      <c r="N9" s="476"/>
      <c r="O9" s="494" t="s">
        <v>565</v>
      </c>
      <c r="P9" s="494"/>
      <c r="Q9" s="476" t="s">
        <v>564</v>
      </c>
      <c r="R9" s="476"/>
      <c r="S9" s="476" t="s">
        <v>572</v>
      </c>
      <c r="T9" s="495"/>
      <c r="U9" s="478" t="s">
        <v>565</v>
      </c>
      <c r="V9" s="479"/>
      <c r="W9" s="479" t="s">
        <v>565</v>
      </c>
      <c r="X9" s="476"/>
      <c r="Y9" s="479"/>
      <c r="Z9" s="479"/>
      <c r="AA9" s="476" t="s">
        <v>573</v>
      </c>
      <c r="AB9" s="476"/>
      <c r="AC9" s="476" t="s">
        <v>574</v>
      </c>
      <c r="AD9" s="476"/>
      <c r="AE9" s="476" t="s">
        <v>575</v>
      </c>
      <c r="AF9" s="477"/>
      <c r="AG9" s="476"/>
      <c r="AH9" s="494" t="s">
        <v>565</v>
      </c>
      <c r="AI9" s="476"/>
      <c r="AJ9" s="476" t="s">
        <v>564</v>
      </c>
      <c r="AK9" s="476"/>
      <c r="AL9" s="494" t="s">
        <v>576</v>
      </c>
      <c r="AM9" s="476" t="s">
        <v>576</v>
      </c>
      <c r="AN9" s="476"/>
      <c r="AO9" s="496"/>
      <c r="AP9" s="476"/>
      <c r="AQ9" s="1200" t="s">
        <v>564</v>
      </c>
      <c r="AR9" s="1201"/>
      <c r="AS9" s="465"/>
      <c r="AT9" s="465"/>
      <c r="AU9" s="497"/>
      <c r="AV9" s="497"/>
      <c r="AW9" s="497"/>
      <c r="AX9" s="497"/>
      <c r="AY9" s="497"/>
      <c r="AZ9" s="498" t="s">
        <v>553</v>
      </c>
      <c r="BA9" s="489" t="s">
        <v>577</v>
      </c>
      <c r="BB9" s="488" t="s">
        <v>578</v>
      </c>
      <c r="BC9" s="488" t="s">
        <v>578</v>
      </c>
      <c r="BD9" s="488" t="s">
        <v>579</v>
      </c>
      <c r="BE9" s="499" t="s">
        <v>579</v>
      </c>
      <c r="BV9" s="455"/>
      <c r="BW9" s="455"/>
      <c r="BX9" s="455"/>
      <c r="BY9" s="455"/>
      <c r="BZ9" s="455"/>
      <c r="CA9" s="455"/>
      <c r="CB9" s="455"/>
      <c r="CC9" s="455"/>
      <c r="CD9" s="455"/>
      <c r="CE9" s="455"/>
      <c r="CF9" s="455"/>
      <c r="CG9" s="455"/>
      <c r="CH9" s="455"/>
      <c r="CI9" s="455"/>
      <c r="CJ9" s="455"/>
      <c r="CK9" s="455"/>
      <c r="CL9" s="455"/>
      <c r="CM9" s="455"/>
      <c r="CN9" s="455"/>
      <c r="CO9" s="455"/>
      <c r="CP9" s="455"/>
      <c r="CQ9" s="455"/>
      <c r="CR9" s="455"/>
      <c r="CS9" s="455"/>
      <c r="CT9" s="455"/>
      <c r="CU9" s="455"/>
      <c r="CV9" s="455"/>
      <c r="CW9" s="455"/>
      <c r="CX9" s="455"/>
      <c r="CY9" s="455"/>
      <c r="CZ9" s="455"/>
    </row>
    <row r="10" spans="1:104" ht="12.75" customHeight="1" thickBot="1">
      <c r="B10" s="500" t="s">
        <v>580</v>
      </c>
      <c r="C10" s="501"/>
      <c r="D10" s="502" t="s">
        <v>571</v>
      </c>
      <c r="E10" s="503"/>
      <c r="F10" s="503" t="s">
        <v>581</v>
      </c>
      <c r="G10" s="504"/>
      <c r="H10" s="503" t="s">
        <v>582</v>
      </c>
      <c r="I10" s="505"/>
      <c r="J10" s="506" t="s">
        <v>583</v>
      </c>
      <c r="K10" s="507"/>
      <c r="L10" s="506" t="s">
        <v>584</v>
      </c>
      <c r="M10" s="508"/>
      <c r="N10" s="506"/>
      <c r="O10" s="509" t="s">
        <v>139</v>
      </c>
      <c r="P10" s="510"/>
      <c r="Q10" s="506" t="s">
        <v>575</v>
      </c>
      <c r="R10" s="506"/>
      <c r="S10" s="506" t="s">
        <v>575</v>
      </c>
      <c r="T10" s="495"/>
      <c r="U10" s="511" t="s">
        <v>585</v>
      </c>
      <c r="V10" s="512">
        <v>-3</v>
      </c>
      <c r="W10" s="506" t="s">
        <v>585</v>
      </c>
      <c r="X10" s="512">
        <v>-3</v>
      </c>
      <c r="Y10" s="506" t="s">
        <v>201</v>
      </c>
      <c r="Z10" s="506"/>
      <c r="AA10" s="506" t="s">
        <v>586</v>
      </c>
      <c r="AB10" s="513">
        <v>-10</v>
      </c>
      <c r="AC10" s="514" t="s">
        <v>586</v>
      </c>
      <c r="AD10" s="513">
        <v>-4</v>
      </c>
      <c r="AE10" s="514" t="s">
        <v>587</v>
      </c>
      <c r="AF10" s="508"/>
      <c r="AG10" s="513"/>
      <c r="AH10" s="509" t="s">
        <v>139</v>
      </c>
      <c r="AI10" s="506"/>
      <c r="AJ10" s="506" t="s">
        <v>575</v>
      </c>
      <c r="AK10" s="515">
        <v>-5</v>
      </c>
      <c r="AL10" s="509" t="s">
        <v>139</v>
      </c>
      <c r="AM10" s="506" t="s">
        <v>575</v>
      </c>
      <c r="AN10" s="516"/>
      <c r="AO10" s="517" t="s">
        <v>580</v>
      </c>
      <c r="AP10" s="518"/>
      <c r="AQ10" s="1202" t="s">
        <v>575</v>
      </c>
      <c r="AR10" s="1203"/>
      <c r="AS10" s="519"/>
      <c r="AT10" s="519"/>
      <c r="AU10" s="520"/>
      <c r="AV10" s="520"/>
      <c r="AW10" s="521"/>
      <c r="AX10" s="521"/>
      <c r="AY10" s="521"/>
      <c r="AZ10" s="522" t="s">
        <v>588</v>
      </c>
      <c r="BA10" s="488" t="s">
        <v>575</v>
      </c>
      <c r="BB10" s="488" t="s">
        <v>589</v>
      </c>
      <c r="BC10" s="488" t="s">
        <v>590</v>
      </c>
      <c r="BD10" s="488" t="s">
        <v>589</v>
      </c>
      <c r="BE10" s="499" t="s">
        <v>590</v>
      </c>
      <c r="BV10" s="455"/>
      <c r="BW10" s="455"/>
      <c r="BX10" s="455"/>
      <c r="BY10" s="455"/>
      <c r="BZ10" s="455"/>
      <c r="CA10" s="455"/>
      <c r="CB10" s="455"/>
      <c r="CC10" s="455"/>
      <c r="CD10" s="455"/>
      <c r="CE10" s="455"/>
      <c r="CF10" s="455"/>
      <c r="CG10" s="455"/>
      <c r="CH10" s="455"/>
      <c r="CI10" s="455"/>
      <c r="CJ10" s="455"/>
      <c r="CK10" s="455"/>
      <c r="CL10" s="455"/>
      <c r="CM10" s="455"/>
      <c r="CN10" s="455"/>
      <c r="CO10" s="455"/>
      <c r="CP10" s="455"/>
      <c r="CQ10" s="455"/>
      <c r="CR10" s="455"/>
      <c r="CS10" s="455"/>
      <c r="CT10" s="455"/>
      <c r="CU10" s="455"/>
      <c r="CV10" s="455"/>
      <c r="CW10" s="455"/>
      <c r="CX10" s="455"/>
      <c r="CY10" s="455"/>
      <c r="CZ10" s="455"/>
    </row>
    <row r="11" spans="1:104" ht="12.75" customHeight="1">
      <c r="A11" s="523"/>
      <c r="B11" s="524" t="s">
        <v>726</v>
      </c>
      <c r="C11" s="525"/>
      <c r="D11" s="526">
        <v>0</v>
      </c>
      <c r="E11" s="527"/>
      <c r="F11" s="528">
        <f>6775+264+8-23+354-339</f>
        <v>7039</v>
      </c>
      <c r="G11" s="529"/>
      <c r="H11" s="528">
        <v>8559</v>
      </c>
      <c r="I11" s="530"/>
      <c r="J11" s="526">
        <v>9049</v>
      </c>
      <c r="K11" s="531"/>
      <c r="L11" s="532">
        <v>24647</v>
      </c>
      <c r="M11" s="533"/>
      <c r="N11" s="532"/>
      <c r="O11" s="532">
        <v>3874</v>
      </c>
      <c r="P11" s="534"/>
      <c r="Q11" s="532">
        <v>3874</v>
      </c>
      <c r="R11" s="534"/>
      <c r="S11" s="532">
        <v>28521</v>
      </c>
      <c r="T11" s="535"/>
      <c r="U11" s="536">
        <v>30576</v>
      </c>
      <c r="V11" s="537"/>
      <c r="W11" s="526">
        <v>28500</v>
      </c>
      <c r="X11" s="538"/>
      <c r="Y11" s="526">
        <v>13648</v>
      </c>
      <c r="Z11" s="538"/>
      <c r="AA11" s="526">
        <v>12790</v>
      </c>
      <c r="AB11" s="538"/>
      <c r="AC11" s="532">
        <v>309</v>
      </c>
      <c r="AD11" s="539"/>
      <c r="AE11" s="532">
        <v>1440</v>
      </c>
      <c r="AF11" s="540"/>
      <c r="AG11" s="539"/>
      <c r="AH11" s="528">
        <v>0</v>
      </c>
      <c r="AI11" s="539"/>
      <c r="AJ11" s="528">
        <v>0</v>
      </c>
      <c r="AK11" s="539"/>
      <c r="AL11" s="532">
        <v>581</v>
      </c>
      <c r="AM11" s="532">
        <v>1440</v>
      </c>
      <c r="AN11" s="534"/>
      <c r="AO11" s="541" t="str">
        <f t="shared" ref="AO11:AO52" si="0">$B11</f>
        <v>77-05</v>
      </c>
      <c r="AP11" s="542"/>
      <c r="AQ11" s="543">
        <v>29961</v>
      </c>
      <c r="AR11" s="544"/>
      <c r="AS11" s="545"/>
      <c r="AT11" s="545"/>
      <c r="AU11" s="546"/>
      <c r="AV11" s="547"/>
      <c r="AW11" s="548"/>
      <c r="AX11" s="549"/>
      <c r="AY11" s="549"/>
      <c r="AZ11" s="487"/>
      <c r="BA11" s="550"/>
      <c r="BB11" s="551"/>
      <c r="BC11" s="552"/>
      <c r="BD11" s="551"/>
      <c r="BE11" s="553"/>
      <c r="BT11" s="523"/>
      <c r="BV11" s="455"/>
      <c r="BW11" s="455"/>
      <c r="BX11" s="455"/>
      <c r="BY11" s="455"/>
      <c r="BZ11" s="455"/>
      <c r="CA11" s="455"/>
      <c r="CB11" s="455"/>
      <c r="CC11" s="455"/>
      <c r="CD11" s="455"/>
      <c r="CE11" s="455"/>
      <c r="CF11" s="455"/>
      <c r="CG11" s="455"/>
      <c r="CH11" s="455"/>
      <c r="CI11" s="455"/>
      <c r="CJ11" s="455"/>
      <c r="CK11" s="455"/>
      <c r="CL11" s="455"/>
      <c r="CM11" s="455"/>
      <c r="CN11" s="455"/>
      <c r="CO11" s="455"/>
      <c r="CP11" s="455"/>
      <c r="CQ11" s="455"/>
      <c r="CR11" s="455"/>
      <c r="CS11" s="455"/>
      <c r="CT11" s="455"/>
      <c r="CU11" s="455"/>
      <c r="CV11" s="455"/>
      <c r="CW11" s="455"/>
      <c r="CX11" s="455"/>
      <c r="CY11" s="455"/>
      <c r="CZ11" s="455"/>
    </row>
    <row r="12" spans="1:104" ht="12.75" customHeight="1">
      <c r="B12" s="554">
        <v>2006</v>
      </c>
      <c r="C12" s="555"/>
      <c r="D12" s="526">
        <v>24647</v>
      </c>
      <c r="E12" s="527"/>
      <c r="F12" s="528">
        <v>0</v>
      </c>
      <c r="G12" s="556"/>
      <c r="H12" s="526">
        <v>601.11699999999996</v>
      </c>
      <c r="I12" s="530"/>
      <c r="J12" s="526">
        <v>855.91849999999999</v>
      </c>
      <c r="K12" s="556"/>
      <c r="L12" s="532">
        <v>26103.535499999998</v>
      </c>
      <c r="M12" s="533"/>
      <c r="N12" s="532"/>
      <c r="O12" s="532">
        <v>347.09800000000024</v>
      </c>
      <c r="P12" s="534"/>
      <c r="Q12" s="532">
        <v>4221.1513936799993</v>
      </c>
      <c r="R12" s="534"/>
      <c r="S12" s="557">
        <v>30324.686893679998</v>
      </c>
      <c r="T12" s="558"/>
      <c r="U12" s="536">
        <v>3072.2998339999999</v>
      </c>
      <c r="V12" s="537"/>
      <c r="W12" s="528">
        <v>2689.4549999999999</v>
      </c>
      <c r="X12" s="542"/>
      <c r="Y12" s="559">
        <v>688.57477499999993</v>
      </c>
      <c r="Z12" s="527"/>
      <c r="AA12" s="526">
        <v>855.91849999999999</v>
      </c>
      <c r="AB12" s="556"/>
      <c r="AC12" s="528">
        <v>36.747</v>
      </c>
      <c r="AD12" s="556"/>
      <c r="AE12" s="528">
        <v>2584.7673789999999</v>
      </c>
      <c r="AF12" s="560"/>
      <c r="AG12" s="556"/>
      <c r="AH12" s="528">
        <v>0</v>
      </c>
      <c r="AI12" s="561"/>
      <c r="AJ12" s="528">
        <v>0</v>
      </c>
      <c r="AK12" s="561"/>
      <c r="AL12" s="532">
        <v>1144.9617249999999</v>
      </c>
      <c r="AM12" s="532">
        <v>2584.7673789999999</v>
      </c>
      <c r="AN12" s="558"/>
      <c r="AO12" s="562">
        <v>2006</v>
      </c>
      <c r="AP12" s="534"/>
      <c r="AQ12" s="543">
        <v>32909.454272679999</v>
      </c>
      <c r="AR12" s="544"/>
      <c r="AS12" s="563"/>
      <c r="AT12" s="563"/>
      <c r="AU12" s="520"/>
      <c r="AV12" s="520"/>
      <c r="AW12" s="564"/>
      <c r="AX12" s="521"/>
      <c r="AY12" s="564"/>
      <c r="AZ12" s="487">
        <f t="shared" ref="AZ12:AZ51" si="1">U12-W12-AC12</f>
        <v>346.09783399999998</v>
      </c>
      <c r="BA12" s="550">
        <f t="shared" ref="BA12:BA20" si="2">Q12+AJ12</f>
        <v>4221.1513936799993</v>
      </c>
      <c r="BB12" s="551">
        <f t="shared" ref="BB12:BB51" si="3">L12</f>
        <v>26103.535499999998</v>
      </c>
      <c r="BC12" s="552">
        <f t="shared" ref="BC12:BC51" si="4">BB12/($BB12+$BD12)</f>
        <v>0.90990169791842013</v>
      </c>
      <c r="BD12" s="551">
        <f t="shared" ref="BD12:BD51" si="5">AE12</f>
        <v>2584.7673789999999</v>
      </c>
      <c r="BE12" s="565">
        <f t="shared" ref="BE12:BE51" si="6">BD12/($BB12+$BD12)</f>
        <v>9.0098302081579887E-2</v>
      </c>
      <c r="BT12" s="482"/>
      <c r="BU12" s="482"/>
      <c r="BV12" s="482"/>
      <c r="BW12" s="566"/>
      <c r="BX12" s="566"/>
      <c r="BY12" s="482"/>
    </row>
    <row r="13" spans="1:104" ht="12.75" customHeight="1" thickBot="1">
      <c r="B13" s="554">
        <f t="shared" ref="B13:B18" si="7">B12+1</f>
        <v>2007</v>
      </c>
      <c r="C13" s="555"/>
      <c r="D13" s="526">
        <v>26103.535499999998</v>
      </c>
      <c r="E13" s="527"/>
      <c r="F13" s="528">
        <v>0</v>
      </c>
      <c r="G13" s="556"/>
      <c r="H13" s="526">
        <v>532.28099999999995</v>
      </c>
      <c r="I13" s="530"/>
      <c r="J13" s="526">
        <v>860.36</v>
      </c>
      <c r="K13" s="556"/>
      <c r="L13" s="532">
        <v>27496.176499999998</v>
      </c>
      <c r="M13" s="533"/>
      <c r="N13" s="532"/>
      <c r="O13" s="532">
        <v>1976.9</v>
      </c>
      <c r="P13" s="534"/>
      <c r="Q13" s="532">
        <v>6197.5814570000002</v>
      </c>
      <c r="R13" s="534"/>
      <c r="S13" s="557">
        <v>33693.757956999994</v>
      </c>
      <c r="T13" s="558"/>
      <c r="U13" s="536">
        <v>5448.0510000000004</v>
      </c>
      <c r="V13" s="537"/>
      <c r="W13" s="528">
        <v>3428.8814000000002</v>
      </c>
      <c r="X13" s="542"/>
      <c r="Y13" s="559">
        <v>1021.66796</v>
      </c>
      <c r="Z13" s="527"/>
      <c r="AA13" s="526">
        <v>860.36</v>
      </c>
      <c r="AB13" s="556"/>
      <c r="AC13" s="528">
        <v>42.287300000000002</v>
      </c>
      <c r="AD13" s="556"/>
      <c r="AE13" s="528">
        <v>4131.6208189999998</v>
      </c>
      <c r="AF13" s="567"/>
      <c r="AG13" s="556"/>
      <c r="AH13" s="528">
        <v>0</v>
      </c>
      <c r="AI13" s="561"/>
      <c r="AJ13" s="528">
        <v>0</v>
      </c>
      <c r="AK13" s="561"/>
      <c r="AL13" s="532">
        <v>-1504.5661400000004</v>
      </c>
      <c r="AM13" s="532">
        <v>4131.6208189999998</v>
      </c>
      <c r="AN13" s="558"/>
      <c r="AO13" s="562">
        <v>2007</v>
      </c>
      <c r="AP13" s="534"/>
      <c r="AQ13" s="543">
        <v>37825.378775999998</v>
      </c>
      <c r="AR13" s="544"/>
      <c r="AS13" s="563"/>
      <c r="AT13" s="563"/>
      <c r="AU13" s="520"/>
      <c r="AV13" s="520"/>
      <c r="AW13" s="564"/>
      <c r="AX13" s="521"/>
      <c r="AY13" s="564"/>
      <c r="AZ13" s="487">
        <f t="shared" si="1"/>
        <v>1976.8823000000002</v>
      </c>
      <c r="BA13" s="550">
        <f t="shared" si="2"/>
        <v>6197.5814570000002</v>
      </c>
      <c r="BB13" s="551">
        <f t="shared" si="3"/>
        <v>27496.176499999998</v>
      </c>
      <c r="BC13" s="552">
        <f t="shared" si="4"/>
        <v>0.86936741824515296</v>
      </c>
      <c r="BD13" s="551">
        <f t="shared" si="5"/>
        <v>4131.6208189999998</v>
      </c>
      <c r="BE13" s="565">
        <f t="shared" si="6"/>
        <v>0.13063258175484707</v>
      </c>
      <c r="BT13" s="482"/>
      <c r="BU13" s="482"/>
      <c r="BV13" s="482"/>
      <c r="BW13" s="566"/>
      <c r="BX13" s="566"/>
      <c r="BY13" s="482"/>
    </row>
    <row r="14" spans="1:104" ht="12.75" customHeight="1">
      <c r="B14" s="554">
        <f t="shared" si="7"/>
        <v>2008</v>
      </c>
      <c r="C14" s="555"/>
      <c r="D14" s="526">
        <v>27496.176499999998</v>
      </c>
      <c r="E14" s="527"/>
      <c r="F14" s="528">
        <v>0</v>
      </c>
      <c r="G14" s="556"/>
      <c r="H14" s="526">
        <v>844.31217188999995</v>
      </c>
      <c r="I14" s="530"/>
      <c r="J14" s="526">
        <v>807.72435700000005</v>
      </c>
      <c r="K14" s="556"/>
      <c r="L14" s="532">
        <v>29148.213028889997</v>
      </c>
      <c r="M14" s="533"/>
      <c r="N14" s="532"/>
      <c r="O14" s="532">
        <v>-3885.5610000000001</v>
      </c>
      <c r="P14" s="534"/>
      <c r="Q14" s="532">
        <v>2064.3000000000002</v>
      </c>
      <c r="R14" s="534"/>
      <c r="S14" s="557">
        <v>31212.513028889996</v>
      </c>
      <c r="T14" s="558"/>
      <c r="U14" s="536">
        <v>-1372</v>
      </c>
      <c r="V14" s="537"/>
      <c r="W14" s="528">
        <v>2938.08438325</v>
      </c>
      <c r="X14" s="542"/>
      <c r="Y14" s="559">
        <v>1293.2068159299999</v>
      </c>
      <c r="Z14" s="527"/>
      <c r="AA14" s="526">
        <v>807.72435699000005</v>
      </c>
      <c r="AB14" s="556"/>
      <c r="AC14" s="528">
        <v>32.962838519999998</v>
      </c>
      <c r="AD14" s="556"/>
      <c r="AE14" s="528">
        <v>4968.7740293299994</v>
      </c>
      <c r="AF14" s="567"/>
      <c r="AG14" s="556"/>
      <c r="AH14" s="561">
        <v>351.88400000000001</v>
      </c>
      <c r="AI14" s="561"/>
      <c r="AJ14" s="561">
        <v>351.88400000000001</v>
      </c>
      <c r="AK14" s="561"/>
      <c r="AL14" s="532">
        <v>1189</v>
      </c>
      <c r="AM14" s="532">
        <v>5321</v>
      </c>
      <c r="AN14" s="558"/>
      <c r="AO14" s="562">
        <v>2008</v>
      </c>
      <c r="AP14" s="534"/>
      <c r="AQ14" s="543">
        <v>36533.513028889996</v>
      </c>
      <c r="AR14" s="544"/>
      <c r="AS14" s="563"/>
      <c r="AT14" s="563"/>
      <c r="AU14" s="568"/>
      <c r="AV14" s="569" t="s">
        <v>591</v>
      </c>
      <c r="AW14" s="570" t="s">
        <v>592</v>
      </c>
      <c r="AX14" s="570" t="s">
        <v>592</v>
      </c>
      <c r="AY14" s="570" t="s">
        <v>592</v>
      </c>
      <c r="AZ14" s="487">
        <f t="shared" si="1"/>
        <v>-4343.0472217699999</v>
      </c>
      <c r="BA14" s="550">
        <f t="shared" si="2"/>
        <v>2416.1840000000002</v>
      </c>
      <c r="BB14" s="551">
        <f t="shared" si="3"/>
        <v>29148.213028889997</v>
      </c>
      <c r="BC14" s="552">
        <f t="shared" si="4"/>
        <v>0.85436070246030582</v>
      </c>
      <c r="BD14" s="551">
        <f t="shared" si="5"/>
        <v>4968.7740293299994</v>
      </c>
      <c r="BE14" s="565">
        <f t="shared" si="6"/>
        <v>0.14563929753969423</v>
      </c>
      <c r="BF14" s="571"/>
      <c r="BG14" s="571"/>
      <c r="BH14" s="571"/>
      <c r="BI14" s="571"/>
      <c r="BJ14" s="571"/>
      <c r="BK14" s="571"/>
      <c r="BL14" s="571"/>
      <c r="BM14" s="571"/>
      <c r="BN14" s="571"/>
      <c r="BO14" s="571"/>
      <c r="BP14" s="571"/>
      <c r="BQ14" s="571"/>
      <c r="BR14" s="571"/>
      <c r="BS14" s="571"/>
      <c r="BT14" s="482"/>
      <c r="BU14" s="482"/>
      <c r="BV14" s="482"/>
      <c r="BW14" s="566"/>
      <c r="BX14" s="566"/>
      <c r="BY14" s="482"/>
    </row>
    <row r="15" spans="1:104" ht="12.75" customHeight="1">
      <c r="B15" s="554">
        <f t="shared" si="7"/>
        <v>2009</v>
      </c>
      <c r="C15" s="555"/>
      <c r="D15" s="526">
        <v>29148</v>
      </c>
      <c r="E15" s="527"/>
      <c r="F15" s="528">
        <v>0</v>
      </c>
      <c r="G15" s="556"/>
      <c r="H15" s="526">
        <v>651.4</v>
      </c>
      <c r="I15" s="530"/>
      <c r="J15" s="526">
        <v>1144.3</v>
      </c>
      <c r="K15" s="556"/>
      <c r="L15" s="532">
        <v>30943.7</v>
      </c>
      <c r="M15" s="533"/>
      <c r="N15" s="532"/>
      <c r="O15" s="532">
        <v>-3512.9</v>
      </c>
      <c r="P15" s="534"/>
      <c r="Q15" s="532">
        <v>-1448.6</v>
      </c>
      <c r="R15" s="534"/>
      <c r="S15" s="557">
        <v>29495.777942537945</v>
      </c>
      <c r="T15" s="558"/>
      <c r="U15" s="536">
        <v>-6394.4129999999996</v>
      </c>
      <c r="V15" s="537"/>
      <c r="W15" s="528">
        <v>-2508.9830000000002</v>
      </c>
      <c r="X15" s="556">
        <v>-8</v>
      </c>
      <c r="Y15" s="559">
        <v>874.84400000000005</v>
      </c>
      <c r="Z15" s="527"/>
      <c r="AA15" s="526">
        <v>1144.3</v>
      </c>
      <c r="AB15" s="556"/>
      <c r="AC15" s="528">
        <v>0</v>
      </c>
      <c r="AD15" s="556">
        <v>-8</v>
      </c>
      <c r="AE15" s="528">
        <v>440.64702932999921</v>
      </c>
      <c r="AF15" s="567"/>
      <c r="AG15" s="556"/>
      <c r="AH15" s="532">
        <v>-373</v>
      </c>
      <c r="AI15" s="561"/>
      <c r="AJ15" s="532">
        <v>-21</v>
      </c>
      <c r="AK15" s="561"/>
      <c r="AL15" s="532">
        <v>-4901</v>
      </c>
      <c r="AM15" s="532">
        <v>420.02102932999901</v>
      </c>
      <c r="AN15" s="558"/>
      <c r="AO15" s="562">
        <v>2009</v>
      </c>
      <c r="AP15" s="534"/>
      <c r="AQ15" s="543">
        <v>29915.798971867946</v>
      </c>
      <c r="AR15" s="544"/>
      <c r="AS15" s="563"/>
      <c r="AT15" s="563"/>
      <c r="AU15" s="572" t="s">
        <v>593</v>
      </c>
      <c r="AV15" s="497" t="s">
        <v>594</v>
      </c>
      <c r="AW15" s="497" t="s">
        <v>575</v>
      </c>
      <c r="AX15" s="497" t="s">
        <v>595</v>
      </c>
      <c r="AY15" s="497" t="s">
        <v>570</v>
      </c>
      <c r="AZ15" s="487">
        <f t="shared" si="1"/>
        <v>-3885.4299999999994</v>
      </c>
      <c r="BA15" s="550">
        <f t="shared" si="2"/>
        <v>-1469.6</v>
      </c>
      <c r="BB15" s="551">
        <f t="shared" si="3"/>
        <v>30943.7</v>
      </c>
      <c r="BC15" s="552">
        <f t="shared" si="4"/>
        <v>0.98595965597378221</v>
      </c>
      <c r="BD15" s="551">
        <f t="shared" si="5"/>
        <v>440.64702932999921</v>
      </c>
      <c r="BE15" s="565">
        <f t="shared" si="6"/>
        <v>1.4040344026217779E-2</v>
      </c>
      <c r="BF15" s="573"/>
      <c r="BG15" s="573"/>
      <c r="BH15" s="573"/>
      <c r="BI15" s="573"/>
      <c r="BJ15" s="573"/>
      <c r="BK15" s="573"/>
      <c r="BL15" s="573"/>
      <c r="BM15" s="573"/>
      <c r="BN15" s="573"/>
      <c r="BO15" s="573"/>
      <c r="BP15" s="573"/>
      <c r="BQ15" s="573"/>
      <c r="BR15" s="573"/>
      <c r="BS15" s="573"/>
      <c r="BT15" s="482"/>
      <c r="BU15" s="482"/>
      <c r="BV15" s="482"/>
      <c r="BW15" s="566"/>
      <c r="BX15" s="566"/>
      <c r="BY15" s="482"/>
    </row>
    <row r="16" spans="1:104" ht="12.75" customHeight="1">
      <c r="B16" s="554">
        <f t="shared" si="7"/>
        <v>2010</v>
      </c>
      <c r="C16" s="555"/>
      <c r="D16" s="526">
        <v>30944.377942537943</v>
      </c>
      <c r="E16" s="527"/>
      <c r="F16" s="528">
        <v>0</v>
      </c>
      <c r="G16" s="556"/>
      <c r="H16" s="526">
        <v>679.43799999999999</v>
      </c>
      <c r="I16" s="530"/>
      <c r="J16" s="526">
        <v>0</v>
      </c>
      <c r="K16" s="556">
        <v>-9</v>
      </c>
      <c r="L16" s="532">
        <v>31624.136999999999</v>
      </c>
      <c r="M16" s="533"/>
      <c r="N16" s="532"/>
      <c r="O16" s="532">
        <v>1869.451</v>
      </c>
      <c r="P16" s="534"/>
      <c r="Q16" s="532">
        <v>420.83699999999999</v>
      </c>
      <c r="R16" s="534"/>
      <c r="S16" s="557">
        <v>32044.973999999998</v>
      </c>
      <c r="T16" s="558"/>
      <c r="U16" s="536">
        <v>3517.2869999999998</v>
      </c>
      <c r="V16" s="537"/>
      <c r="W16" s="528">
        <v>1590.492</v>
      </c>
      <c r="X16" s="556">
        <v>-8</v>
      </c>
      <c r="Y16" s="559">
        <v>857.98299999999995</v>
      </c>
      <c r="Z16" s="527"/>
      <c r="AA16" s="526">
        <v>0</v>
      </c>
      <c r="AB16" s="556">
        <v>-9</v>
      </c>
      <c r="AC16" s="528">
        <v>0</v>
      </c>
      <c r="AD16" s="556">
        <v>-8</v>
      </c>
      <c r="AE16" s="528">
        <v>1193.9490000000001</v>
      </c>
      <c r="AF16" s="567"/>
      <c r="AG16" s="556"/>
      <c r="AH16" s="532">
        <v>36.514000000000003</v>
      </c>
      <c r="AI16" s="561"/>
      <c r="AJ16" s="532">
        <v>15.888</v>
      </c>
      <c r="AK16" s="561"/>
      <c r="AL16" s="532">
        <v>789.85299999999995</v>
      </c>
      <c r="AM16" s="532">
        <v>1209.837</v>
      </c>
      <c r="AN16" s="558"/>
      <c r="AO16" s="562">
        <v>2010</v>
      </c>
      <c r="AP16" s="534"/>
      <c r="AQ16" s="543">
        <v>33254.811000000002</v>
      </c>
      <c r="AR16" s="544"/>
      <c r="AS16" s="563">
        <f>A16</f>
        <v>0</v>
      </c>
      <c r="AT16" s="563"/>
      <c r="AU16" s="574"/>
      <c r="AV16" s="520"/>
      <c r="AW16" s="521"/>
      <c r="AX16" s="521"/>
      <c r="AY16" s="521"/>
      <c r="AZ16" s="487">
        <f t="shared" si="1"/>
        <v>1926.7949999999998</v>
      </c>
      <c r="BA16" s="550">
        <f t="shared" si="2"/>
        <v>436.72499999999997</v>
      </c>
      <c r="BB16" s="551">
        <f t="shared" si="3"/>
        <v>31624.136999999999</v>
      </c>
      <c r="BC16" s="552">
        <f t="shared" si="4"/>
        <v>0.96361917632856475</v>
      </c>
      <c r="BD16" s="551">
        <f t="shared" si="5"/>
        <v>1193.9490000000001</v>
      </c>
      <c r="BE16" s="565">
        <f t="shared" si="6"/>
        <v>3.6380823671435324E-2</v>
      </c>
      <c r="BF16" s="575"/>
      <c r="BG16" s="575"/>
      <c r="BH16" s="575"/>
      <c r="BI16" s="575"/>
      <c r="BJ16" s="575"/>
      <c r="BK16" s="575"/>
      <c r="BL16" s="575"/>
      <c r="BM16" s="575"/>
      <c r="BN16" s="575"/>
      <c r="BO16" s="575"/>
      <c r="BP16" s="575"/>
      <c r="BQ16" s="575"/>
      <c r="BR16" s="575"/>
      <c r="BS16" s="575"/>
      <c r="BT16" s="482"/>
      <c r="BU16" s="482"/>
      <c r="BV16" s="482"/>
      <c r="BW16" s="566"/>
      <c r="BX16" s="566"/>
      <c r="BY16" s="482"/>
    </row>
    <row r="17" spans="1:101" ht="12.75" customHeight="1">
      <c r="B17" s="554">
        <f t="shared" si="7"/>
        <v>2011</v>
      </c>
      <c r="C17" s="555"/>
      <c r="D17" s="526">
        <v>31624.136999999999</v>
      </c>
      <c r="E17" s="527"/>
      <c r="F17" s="528">
        <v>0</v>
      </c>
      <c r="G17" s="556"/>
      <c r="H17" s="526">
        <v>886.98900000000003</v>
      </c>
      <c r="I17" s="530"/>
      <c r="J17" s="526">
        <v>533.18200000000002</v>
      </c>
      <c r="K17" s="556"/>
      <c r="L17" s="532">
        <v>33044.308928999999</v>
      </c>
      <c r="M17" s="533"/>
      <c r="N17" s="532"/>
      <c r="O17" s="532">
        <v>4367.2489999999998</v>
      </c>
      <c r="P17" s="534"/>
      <c r="Q17" s="532">
        <v>4788.0859999999993</v>
      </c>
      <c r="R17" s="534"/>
      <c r="S17" s="557">
        <v>37832.394929000002</v>
      </c>
      <c r="T17" s="558"/>
      <c r="U17" s="536">
        <v>6811.8180000000002</v>
      </c>
      <c r="V17" s="537"/>
      <c r="W17" s="528">
        <v>2143.1</v>
      </c>
      <c r="X17" s="556">
        <v>-8</v>
      </c>
      <c r="Y17" s="559">
        <v>800.61300000000006</v>
      </c>
      <c r="Z17" s="527"/>
      <c r="AA17" s="526">
        <v>533.18200000000002</v>
      </c>
      <c r="AB17" s="556"/>
      <c r="AC17" s="528">
        <v>12.791</v>
      </c>
      <c r="AD17" s="556">
        <v>-8</v>
      </c>
      <c r="AE17" s="528">
        <v>2015.7</v>
      </c>
      <c r="AF17" s="567"/>
      <c r="AG17" s="556"/>
      <c r="AH17" s="532">
        <v>276.19</v>
      </c>
      <c r="AI17" s="561"/>
      <c r="AJ17" s="532">
        <v>292.07799999999997</v>
      </c>
      <c r="AK17" s="561"/>
      <c r="AL17" s="532">
        <v>1097.9949999999999</v>
      </c>
      <c r="AM17" s="532">
        <v>2307.8319999999999</v>
      </c>
      <c r="AN17" s="558"/>
      <c r="AO17" s="562">
        <v>2011</v>
      </c>
      <c r="AP17" s="534"/>
      <c r="AQ17" s="543">
        <v>40140.226929000004</v>
      </c>
      <c r="AR17" s="544"/>
      <c r="AS17" s="563"/>
      <c r="AT17" s="563"/>
      <c r="AU17" s="574"/>
      <c r="AV17" s="520"/>
      <c r="AW17" s="521"/>
      <c r="AX17" s="521"/>
      <c r="AY17" s="521"/>
      <c r="AZ17" s="487">
        <f t="shared" si="1"/>
        <v>4655.9270000000006</v>
      </c>
      <c r="BA17" s="550">
        <f t="shared" si="2"/>
        <v>5080.1639999999989</v>
      </c>
      <c r="BB17" s="551">
        <f t="shared" si="3"/>
        <v>33044.308928999999</v>
      </c>
      <c r="BC17" s="552">
        <f t="shared" si="4"/>
        <v>0.94250714527534807</v>
      </c>
      <c r="BD17" s="551">
        <f t="shared" si="5"/>
        <v>2015.7</v>
      </c>
      <c r="BE17" s="565">
        <f t="shared" si="6"/>
        <v>5.7492854724652036E-2</v>
      </c>
      <c r="BF17" s="575"/>
      <c r="BG17" s="575"/>
      <c r="BH17" s="575"/>
      <c r="BI17" s="575"/>
      <c r="BJ17" s="575"/>
      <c r="BK17" s="575"/>
      <c r="BL17" s="575"/>
      <c r="BM17" s="575"/>
      <c r="BN17" s="575"/>
      <c r="BO17" s="575"/>
      <c r="BP17" s="575"/>
      <c r="BQ17" s="575"/>
      <c r="BR17" s="575"/>
      <c r="BS17" s="575"/>
      <c r="BT17" s="482"/>
      <c r="BU17" s="482"/>
      <c r="BV17" s="482"/>
      <c r="BW17" s="566"/>
      <c r="BX17" s="566"/>
      <c r="BY17" s="482"/>
    </row>
    <row r="18" spans="1:101" ht="12.75" customHeight="1">
      <c r="B18" s="554">
        <f t="shared" si="7"/>
        <v>2012</v>
      </c>
      <c r="C18" s="555"/>
      <c r="D18" s="526">
        <v>33044.249865289996</v>
      </c>
      <c r="E18" s="556"/>
      <c r="F18" s="528">
        <v>0</v>
      </c>
      <c r="G18" s="556"/>
      <c r="H18" s="526">
        <v>915.09797700000001</v>
      </c>
      <c r="I18" s="530"/>
      <c r="J18" s="526">
        <v>1073.117</v>
      </c>
      <c r="K18" s="556"/>
      <c r="L18" s="532">
        <v>35032.524165000003</v>
      </c>
      <c r="M18" s="533"/>
      <c r="N18" s="532"/>
      <c r="O18" s="532">
        <v>-1568.132016</v>
      </c>
      <c r="P18" s="534"/>
      <c r="Q18" s="532">
        <v>3219.9529040000002</v>
      </c>
      <c r="R18" s="534"/>
      <c r="S18" s="557">
        <v>38252.5</v>
      </c>
      <c r="T18" s="558"/>
      <c r="U18" s="536">
        <v>-99.947000000000003</v>
      </c>
      <c r="V18" s="537"/>
      <c r="W18" s="528">
        <v>1568.0474079999999</v>
      </c>
      <c r="X18" s="556"/>
      <c r="Y18" s="559">
        <v>605.226</v>
      </c>
      <c r="Z18" s="527"/>
      <c r="AA18" s="526">
        <v>1073.117</v>
      </c>
      <c r="AB18" s="556"/>
      <c r="AC18" s="528">
        <v>17.081</v>
      </c>
      <c r="AD18" s="556"/>
      <c r="AE18" s="528">
        <v>1905.4834079999998</v>
      </c>
      <c r="AF18" s="567"/>
      <c r="AG18" s="542"/>
      <c r="AH18" s="532">
        <v>-116.943</v>
      </c>
      <c r="AI18" s="561"/>
      <c r="AJ18" s="532">
        <v>175.136</v>
      </c>
      <c r="AK18" s="561"/>
      <c r="AL18" s="532">
        <v>-227.23859200000004</v>
      </c>
      <c r="AM18" s="532">
        <v>2080.5934079999997</v>
      </c>
      <c r="AN18" s="558"/>
      <c r="AO18" s="562">
        <v>2012</v>
      </c>
      <c r="AP18" s="534"/>
      <c r="AQ18" s="543">
        <v>40333.093408000001</v>
      </c>
      <c r="AR18" s="544"/>
      <c r="AS18" s="563"/>
      <c r="AT18" s="563"/>
      <c r="AU18" s="574"/>
      <c r="AV18" s="520"/>
      <c r="AW18" s="521"/>
      <c r="AX18" s="521"/>
      <c r="AY18" s="521"/>
      <c r="AZ18" s="487">
        <f t="shared" si="1"/>
        <v>-1685.0754079999999</v>
      </c>
      <c r="BA18" s="550">
        <f t="shared" si="2"/>
        <v>3395.0889040000002</v>
      </c>
      <c r="BB18" s="551">
        <f t="shared" si="3"/>
        <v>35032.524165000003</v>
      </c>
      <c r="BC18" s="552">
        <f t="shared" si="4"/>
        <v>0.94841401761493971</v>
      </c>
      <c r="BD18" s="551">
        <f t="shared" si="5"/>
        <v>1905.4834079999998</v>
      </c>
      <c r="BE18" s="565">
        <f t="shared" si="6"/>
        <v>5.1585982385060236E-2</v>
      </c>
      <c r="BF18" s="575"/>
      <c r="BG18" s="575"/>
      <c r="BH18" s="575"/>
      <c r="BI18" s="575"/>
      <c r="BJ18" s="575"/>
      <c r="BK18" s="575"/>
      <c r="BL18" s="575"/>
      <c r="BM18" s="575"/>
      <c r="BN18" s="575"/>
      <c r="BO18" s="575"/>
      <c r="BP18" s="575"/>
      <c r="BQ18" s="575"/>
      <c r="BR18" s="575"/>
      <c r="BS18" s="575"/>
      <c r="BT18" s="482"/>
      <c r="BU18" s="482"/>
      <c r="BV18" s="482"/>
      <c r="BW18" s="566"/>
      <c r="BX18" s="566"/>
      <c r="BY18" s="482"/>
    </row>
    <row r="19" spans="1:101" ht="12.75" customHeight="1">
      <c r="B19" s="554">
        <f>B18+1</f>
        <v>2013</v>
      </c>
      <c r="C19" s="555"/>
      <c r="D19" s="526">
        <v>36615.208565000001</v>
      </c>
      <c r="E19" s="556">
        <v>-6</v>
      </c>
      <c r="F19" s="528">
        <v>0</v>
      </c>
      <c r="G19" s="556"/>
      <c r="H19" s="526">
        <v>840.12099999999998</v>
      </c>
      <c r="I19" s="530"/>
      <c r="J19" s="526">
        <v>742.56399999999996</v>
      </c>
      <c r="K19" s="556"/>
      <c r="L19" s="532">
        <v>36615.208565000001</v>
      </c>
      <c r="M19" s="533"/>
      <c r="N19" s="532"/>
      <c r="O19" s="532">
        <v>964.38099999999997</v>
      </c>
      <c r="P19" s="534"/>
      <c r="Q19" s="532">
        <v>4184.3339999999998</v>
      </c>
      <c r="R19" s="534"/>
      <c r="S19" s="557">
        <v>40799.542565000003</v>
      </c>
      <c r="T19" s="558"/>
      <c r="U19" s="536">
        <v>4313.8890000000001</v>
      </c>
      <c r="V19" s="556">
        <v>-6</v>
      </c>
      <c r="W19" s="528">
        <v>2927.8339999999998</v>
      </c>
      <c r="X19" s="556"/>
      <c r="Y19" s="559">
        <v>604.15</v>
      </c>
      <c r="Z19" s="527"/>
      <c r="AA19" s="526">
        <v>742.56399999999996</v>
      </c>
      <c r="AB19" s="556"/>
      <c r="AC19" s="528">
        <v>29.585000000000001</v>
      </c>
      <c r="AD19" s="556"/>
      <c r="AE19" s="528">
        <v>3486.6034080000004</v>
      </c>
      <c r="AF19" s="567"/>
      <c r="AG19" s="542"/>
      <c r="AH19" s="532">
        <v>392.089</v>
      </c>
      <c r="AI19" s="561"/>
      <c r="AJ19" s="532">
        <v>567.22500000000002</v>
      </c>
      <c r="AK19" s="561"/>
      <c r="AL19" s="532">
        <v>1973.2089999999998</v>
      </c>
      <c r="AM19" s="532">
        <v>4053.8024079999996</v>
      </c>
      <c r="AN19" s="558">
        <v>12</v>
      </c>
      <c r="AO19" s="562">
        <v>2013</v>
      </c>
      <c r="AP19" s="534">
        <v>40333.148250289996</v>
      </c>
      <c r="AQ19" s="543">
        <v>44853.344972999999</v>
      </c>
      <c r="AR19" s="544"/>
      <c r="AS19" s="563"/>
      <c r="AT19" s="563"/>
      <c r="AU19" s="574"/>
      <c r="AV19" s="520"/>
      <c r="AW19" s="521"/>
      <c r="AX19" s="521"/>
      <c r="AY19" s="521"/>
      <c r="AZ19" s="487">
        <f t="shared" si="1"/>
        <v>1356.4700000000003</v>
      </c>
      <c r="BA19" s="550">
        <f t="shared" si="2"/>
        <v>4751.5590000000002</v>
      </c>
      <c r="BB19" s="551">
        <f t="shared" si="3"/>
        <v>36615.208565000001</v>
      </c>
      <c r="BC19" s="552">
        <f t="shared" si="4"/>
        <v>0.91305621276296733</v>
      </c>
      <c r="BD19" s="551">
        <f t="shared" si="5"/>
        <v>3486.6034080000004</v>
      </c>
      <c r="BE19" s="565">
        <f t="shared" si="6"/>
        <v>8.6943787237032638E-2</v>
      </c>
      <c r="BF19" s="575"/>
      <c r="BG19" s="575"/>
      <c r="BH19" s="575"/>
      <c r="BI19" s="575"/>
      <c r="BJ19" s="575"/>
      <c r="BK19" s="575"/>
      <c r="BL19" s="575"/>
      <c r="BM19" s="575"/>
      <c r="BN19" s="575"/>
      <c r="BO19" s="575"/>
      <c r="BP19" s="575"/>
      <c r="BQ19" s="575"/>
      <c r="BR19" s="575"/>
      <c r="BS19" s="575"/>
      <c r="BT19" s="482"/>
      <c r="BU19" s="482"/>
      <c r="BV19" s="482"/>
      <c r="BW19" s="566"/>
      <c r="BX19" s="566"/>
      <c r="BY19" s="482"/>
    </row>
    <row r="20" spans="1:101" ht="12.75" customHeight="1">
      <c r="B20" s="554">
        <f>B19+1</f>
        <v>2014</v>
      </c>
      <c r="C20" s="555"/>
      <c r="D20" s="526">
        <v>36615</v>
      </c>
      <c r="E20" s="556">
        <v>-6</v>
      </c>
      <c r="F20" s="528">
        <v>0</v>
      </c>
      <c r="G20" s="556"/>
      <c r="H20" s="526">
        <v>779</v>
      </c>
      <c r="I20" s="530"/>
      <c r="J20" s="526">
        <v>546</v>
      </c>
      <c r="K20" s="556"/>
      <c r="L20" s="532">
        <v>37941</v>
      </c>
      <c r="M20" s="533"/>
      <c r="N20" s="532"/>
      <c r="O20" s="532">
        <v>2878</v>
      </c>
      <c r="P20" s="534"/>
      <c r="Q20" s="532">
        <v>7062</v>
      </c>
      <c r="R20" s="534"/>
      <c r="S20" s="577">
        <v>45002</v>
      </c>
      <c r="T20" s="558"/>
      <c r="U20" s="536">
        <v>6848</v>
      </c>
      <c r="V20" s="556">
        <v>-6</v>
      </c>
      <c r="W20" s="528">
        <v>3531</v>
      </c>
      <c r="X20" s="556"/>
      <c r="Y20" s="578">
        <v>1235</v>
      </c>
      <c r="Z20" s="527"/>
      <c r="AA20" s="526">
        <v>546</v>
      </c>
      <c r="AB20" s="556"/>
      <c r="AC20" s="528">
        <v>32</v>
      </c>
      <c r="AD20" s="556"/>
      <c r="AE20" s="528">
        <v>5237</v>
      </c>
      <c r="AF20" s="567"/>
      <c r="AG20" s="542"/>
      <c r="AH20" s="532">
        <v>408</v>
      </c>
      <c r="AI20" s="561"/>
      <c r="AJ20" s="532">
        <v>975</v>
      </c>
      <c r="AK20" s="561"/>
      <c r="AL20" s="532">
        <v>2158</v>
      </c>
      <c r="AM20" s="532">
        <v>6211</v>
      </c>
      <c r="AN20" s="558"/>
      <c r="AO20" s="562">
        <f t="shared" si="0"/>
        <v>2014</v>
      </c>
      <c r="AP20" s="534"/>
      <c r="AQ20" s="543">
        <v>51214</v>
      </c>
      <c r="AR20" s="544"/>
      <c r="AS20" s="563">
        <f>A20</f>
        <v>0</v>
      </c>
      <c r="AT20" s="563"/>
      <c r="AU20" s="574">
        <v>118.09</v>
      </c>
      <c r="AV20" s="520">
        <v>7.15</v>
      </c>
      <c r="AW20" s="521">
        <v>424.4</v>
      </c>
      <c r="AX20" s="521">
        <f>AW20*O59</f>
        <v>19.77704</v>
      </c>
      <c r="AY20" s="521">
        <v>0</v>
      </c>
      <c r="AZ20" s="487">
        <f t="shared" si="1"/>
        <v>3285</v>
      </c>
      <c r="BA20" s="550">
        <f t="shared" si="2"/>
        <v>8037</v>
      </c>
      <c r="BB20" s="551">
        <f t="shared" si="3"/>
        <v>37941</v>
      </c>
      <c r="BC20" s="552">
        <f t="shared" si="4"/>
        <v>0.8787113807957756</v>
      </c>
      <c r="BD20" s="551">
        <f t="shared" si="5"/>
        <v>5237</v>
      </c>
      <c r="BE20" s="565">
        <f t="shared" si="6"/>
        <v>0.12128861920422437</v>
      </c>
      <c r="BF20" s="575"/>
      <c r="BG20" s="575"/>
      <c r="BH20" s="575"/>
      <c r="BI20" s="575"/>
      <c r="BJ20" s="575"/>
      <c r="BK20" s="575"/>
      <c r="BL20" s="575"/>
      <c r="BM20" s="575"/>
      <c r="BN20" s="575"/>
      <c r="BO20" s="575"/>
      <c r="BP20" s="575"/>
      <c r="BQ20" s="575"/>
      <c r="BR20" s="575"/>
      <c r="BS20" s="575"/>
      <c r="BT20" s="482"/>
      <c r="BU20" s="482"/>
      <c r="BV20" s="482"/>
      <c r="BW20" s="566"/>
      <c r="BX20" s="566"/>
      <c r="BY20" s="482"/>
    </row>
    <row r="21" spans="1:101" ht="12.75" customHeight="1">
      <c r="A21" s="579" t="s">
        <v>157</v>
      </c>
      <c r="B21" s="580">
        <f>B20+1</f>
        <v>2015</v>
      </c>
      <c r="C21" s="581"/>
      <c r="D21" s="906">
        <f>L20</f>
        <v>37941</v>
      </c>
      <c r="E21" s="907"/>
      <c r="F21" s="906">
        <v>0</v>
      </c>
      <c r="G21" s="908"/>
      <c r="H21" s="906">
        <v>456</v>
      </c>
      <c r="I21" s="907"/>
      <c r="J21" s="906">
        <f t="shared" ref="J21:J51" si="8">AA21</f>
        <v>560.59619999999995</v>
      </c>
      <c r="K21" s="909"/>
      <c r="L21" s="906">
        <f t="shared" ref="L21:L51" si="9">SUM(D21,F21,H21,J21)</f>
        <v>38957.5962</v>
      </c>
      <c r="M21" s="910"/>
      <c r="N21" s="911"/>
      <c r="O21" s="906">
        <f t="shared" ref="O21:O51" si="10">Q21-Q20</f>
        <v>878.68587037734324</v>
      </c>
      <c r="P21" s="912"/>
      <c r="Q21" s="906">
        <f t="shared" ref="Q21:Q51" si="11">$BA21*BC21</f>
        <v>7940.6858703773432</v>
      </c>
      <c r="R21" s="912"/>
      <c r="S21" s="911">
        <f t="shared" ref="S21:S51" si="12">Q21+L21</f>
        <v>46898.282070377347</v>
      </c>
      <c r="T21" s="913"/>
      <c r="U21" s="906">
        <f>(AQ20+(H21/2))*$F$59-AU21-AV21</f>
        <v>3317.8312999999998</v>
      </c>
      <c r="V21" s="914"/>
      <c r="W21" s="906">
        <f>((AQ20+(H21/2))*$O$59)-AX21-AU21-AV21</f>
        <v>2248.6374599999999</v>
      </c>
      <c r="X21" s="915"/>
      <c r="Y21" s="906">
        <f>IF(SUM(W$17+W$18 +W$19+W$20+W21)*0.21&gt;SUM(W21,$AM$19),SUM(W21,$AM$19)/2,ROUND(SUM(W$17+W$18+W$19+W$20+W21)*0.21/2,0))</f>
        <v>1304</v>
      </c>
      <c r="Z21" s="916"/>
      <c r="AA21" s="906">
        <f>IF(((D21+H21)*$H$59)&gt;AE20+W21-Y21,AE20+W21-Y21,((D21+H21)*$H$59))</f>
        <v>560.59619999999995</v>
      </c>
      <c r="AB21" s="909"/>
      <c r="AC21" s="906">
        <f t="shared" ref="AC21:AC51" si="13">AX21</f>
        <v>19.77704</v>
      </c>
      <c r="AD21" s="917"/>
      <c r="AE21" s="906">
        <f>AE20+W21-Y21-AA21</f>
        <v>5621.04126</v>
      </c>
      <c r="AF21" s="918"/>
      <c r="AG21" s="917"/>
      <c r="AH21" s="906">
        <f t="shared" ref="AH21:AH51" si="14">AJ21-AJ20</f>
        <v>170.73092962265628</v>
      </c>
      <c r="AI21" s="917"/>
      <c r="AJ21" s="906">
        <f>$BA21*BE21</f>
        <v>1145.7309296226563</v>
      </c>
      <c r="AK21" s="917"/>
      <c r="AL21" s="906">
        <f t="shared" ref="AL21:AL51" si="15">W21-Y21-AA21+AH21</f>
        <v>554.77218962265624</v>
      </c>
      <c r="AM21" s="906">
        <f t="shared" ref="AM21:AM51" si="16">AM20+AL21</f>
        <v>6765.7721896226558</v>
      </c>
      <c r="AN21" s="919"/>
      <c r="AO21" s="920">
        <f t="shared" si="0"/>
        <v>2015</v>
      </c>
      <c r="AP21" s="913"/>
      <c r="AQ21" s="921">
        <f>S21+AM21</f>
        <v>53664.054260000004</v>
      </c>
      <c r="AR21" s="583"/>
      <c r="AS21" s="584"/>
      <c r="AT21" s="563"/>
      <c r="AU21" s="574">
        <f t="shared" ref="AU21:AU29" si="17">(AU20*(1.03))</f>
        <v>121.6327</v>
      </c>
      <c r="AV21" s="520">
        <f t="shared" ref="AV21:AW36" si="18">AV20</f>
        <v>7.15</v>
      </c>
      <c r="AW21" s="521">
        <f t="shared" si="18"/>
        <v>424.4</v>
      </c>
      <c r="AX21" s="521">
        <f>AW21*O59</f>
        <v>19.77704</v>
      </c>
      <c r="AY21" s="564">
        <f t="shared" ref="AY21:AY52" si="19">AY20</f>
        <v>0</v>
      </c>
      <c r="AZ21" s="585">
        <f t="shared" si="1"/>
        <v>1049.4168</v>
      </c>
      <c r="BA21" s="550">
        <f t="shared" ref="BA21:BA51" si="20">BA20+AZ21</f>
        <v>9086.4167999999991</v>
      </c>
      <c r="BB21" s="551">
        <f t="shared" si="3"/>
        <v>38957.5962</v>
      </c>
      <c r="BC21" s="552">
        <f t="shared" si="4"/>
        <v>0.87390728877607116</v>
      </c>
      <c r="BD21" s="551">
        <f t="shared" si="5"/>
        <v>5621.04126</v>
      </c>
      <c r="BE21" s="586">
        <f t="shared" si="6"/>
        <v>0.12609271122392893</v>
      </c>
      <c r="BF21" s="576"/>
      <c r="BG21" s="576"/>
      <c r="BH21" s="576"/>
      <c r="BI21" s="576"/>
      <c r="BJ21" s="576"/>
      <c r="BK21" s="576"/>
      <c r="BL21" s="576"/>
      <c r="BM21" s="576"/>
      <c r="BN21" s="576"/>
      <c r="BO21" s="576"/>
      <c r="BP21" s="576"/>
      <c r="BQ21" s="576"/>
      <c r="BR21" s="576"/>
      <c r="BS21" s="576"/>
      <c r="BT21" s="587"/>
      <c r="BU21" s="482"/>
      <c r="BV21" s="482"/>
      <c r="BW21" s="588"/>
      <c r="BX21" s="589"/>
      <c r="BY21" s="482"/>
    </row>
    <row r="22" spans="1:101" ht="12.75" customHeight="1">
      <c r="B22" s="590">
        <f t="shared" ref="B22:B52" si="21">B21+1</f>
        <v>2016</v>
      </c>
      <c r="C22" s="472"/>
      <c r="D22" s="591">
        <f t="shared" ref="D22:D51" si="22">L21</f>
        <v>38957.5962</v>
      </c>
      <c r="E22" s="592"/>
      <c r="F22" s="593">
        <v>0</v>
      </c>
      <c r="G22" s="592"/>
      <c r="H22" s="594">
        <v>468</v>
      </c>
      <c r="I22" s="595"/>
      <c r="J22" s="591">
        <f>AA22</f>
        <v>887.07591449999995</v>
      </c>
      <c r="K22" s="904"/>
      <c r="L22" s="596">
        <f>SUM(D22,F22,H22,J22)</f>
        <v>40312.672114499997</v>
      </c>
      <c r="M22" s="597"/>
      <c r="N22" s="596"/>
      <c r="O22" s="596">
        <f>Q22-Q21</f>
        <v>778.7977963158537</v>
      </c>
      <c r="P22" s="598"/>
      <c r="Q22" s="596">
        <f>$BA22*BC22</f>
        <v>8719.4836666931969</v>
      </c>
      <c r="R22" s="598"/>
      <c r="S22" s="596">
        <f>Q22+L22</f>
        <v>49032.155781193193</v>
      </c>
      <c r="T22" s="599"/>
      <c r="U22" s="600">
        <f>((AQ21+(H22/2))*X91-AU22-AV22)*(1-'All Rev &amp; Projects'!$B$16)</f>
        <v>3638.6381112792251</v>
      </c>
      <c r="V22" s="601"/>
      <c r="W22" s="602">
        <f>(((AQ21+(H22/2))*$O$62)-AX22-AU22-AV22)*(1-'All Rev &amp; Projects'!$B$16)</f>
        <v>2674.93516765</v>
      </c>
      <c r="X22" s="476"/>
      <c r="Y22" s="603">
        <f>IF(SUM(W18+W19+W20+W21+W22)*0.21&gt;SUM(W22,AM21),SUM(W22,AM21)/2,ROUND(SUM(W18+W19+W20+W21+W22)*0.21/2,0))</f>
        <v>1360</v>
      </c>
      <c r="Z22" s="604"/>
      <c r="AA22" s="605">
        <f>IF(((D22+H22)*'Extended Forecast'!Y91)&gt;AE21+W22-Y22,AE21+W22-Y22,((D22+H22)*'Extended Forecast'!Y91))</f>
        <v>887.07591449999995</v>
      </c>
      <c r="AB22" s="606"/>
      <c r="AC22" s="593">
        <f>AX22</f>
        <v>22.280999999999999</v>
      </c>
      <c r="AD22" s="607"/>
      <c r="AE22" s="593">
        <f>AE21+W22-Y22-AA22</f>
        <v>6048.9005131499989</v>
      </c>
      <c r="AF22" s="608"/>
      <c r="AG22" s="607"/>
      <c r="AH22" s="593">
        <f>AJ22-AJ21</f>
        <v>162.6241473133714</v>
      </c>
      <c r="AI22" s="607"/>
      <c r="AJ22" s="593">
        <f>$BA22*BE22</f>
        <v>1308.3550769360277</v>
      </c>
      <c r="AK22" s="607"/>
      <c r="AL22" s="594">
        <f t="shared" si="15"/>
        <v>590.48340046337148</v>
      </c>
      <c r="AM22" s="594">
        <f>AM21+AL22</f>
        <v>7356.255590086027</v>
      </c>
      <c r="AN22" s="598"/>
      <c r="AO22" s="609">
        <f t="shared" si="0"/>
        <v>2016</v>
      </c>
      <c r="AP22" s="598"/>
      <c r="AQ22" s="610">
        <f>S22+AM22</f>
        <v>56388.411371279217</v>
      </c>
      <c r="AR22" s="611"/>
      <c r="AS22" s="563"/>
      <c r="AT22" s="563"/>
      <c r="AU22" s="574">
        <f t="shared" si="17"/>
        <v>125.28168100000001</v>
      </c>
      <c r="AV22" s="520">
        <f t="shared" si="18"/>
        <v>7.15</v>
      </c>
      <c r="AW22" s="521">
        <f t="shared" si="18"/>
        <v>424.4</v>
      </c>
      <c r="AX22" s="521">
        <f>AW22*($O$62)</f>
        <v>22.280999999999999</v>
      </c>
      <c r="AY22" s="564">
        <f t="shared" si="19"/>
        <v>0</v>
      </c>
      <c r="AZ22" s="585">
        <f>U22-W22-AC22</f>
        <v>941.4219436292251</v>
      </c>
      <c r="BA22" s="550">
        <f>BA21+AZ22</f>
        <v>10027.838743629225</v>
      </c>
      <c r="BB22" s="551">
        <f t="shared" si="3"/>
        <v>40312.672114499997</v>
      </c>
      <c r="BC22" s="552">
        <f t="shared" si="4"/>
        <v>0.86952771076746338</v>
      </c>
      <c r="BD22" s="551">
        <f>AE22</f>
        <v>6048.9005131499989</v>
      </c>
      <c r="BE22" s="553">
        <f>BD22/($BB22+$BD22)</f>
        <v>0.13047228923253651</v>
      </c>
      <c r="BF22" s="612">
        <v>2015</v>
      </c>
      <c r="BG22" s="613">
        <f t="shared" ref="BG22:BG52" si="23">7.5982%</f>
        <v>7.5982000000000008E-2</v>
      </c>
      <c r="BH22" s="576"/>
      <c r="BI22" s="576"/>
      <c r="BJ22" s="576"/>
      <c r="BK22" s="576"/>
      <c r="BL22" s="576"/>
      <c r="BM22" s="576"/>
      <c r="BN22" s="576"/>
      <c r="BO22" s="576"/>
      <c r="BP22" s="576"/>
      <c r="BQ22" s="576"/>
      <c r="BR22" s="576"/>
      <c r="BS22" s="576"/>
      <c r="BT22" s="587"/>
      <c r="BU22" s="482"/>
      <c r="BV22" s="482"/>
      <c r="BW22" s="588"/>
      <c r="BX22" s="588"/>
      <c r="BY22" s="482"/>
    </row>
    <row r="23" spans="1:101" ht="12.75" customHeight="1">
      <c r="B23" s="590">
        <f t="shared" si="21"/>
        <v>2017</v>
      </c>
      <c r="C23" s="472"/>
      <c r="D23" s="591">
        <f t="shared" si="22"/>
        <v>40312.672114499997</v>
      </c>
      <c r="E23" s="592"/>
      <c r="F23" s="593">
        <v>0</v>
      </c>
      <c r="G23" s="592"/>
      <c r="H23" s="594">
        <v>639</v>
      </c>
      <c r="I23" s="595"/>
      <c r="J23" s="591">
        <f t="shared" si="8"/>
        <v>921.41262257624987</v>
      </c>
      <c r="K23" s="904"/>
      <c r="L23" s="596">
        <f t="shared" si="9"/>
        <v>41873.084737076249</v>
      </c>
      <c r="M23" s="597"/>
      <c r="N23" s="596"/>
      <c r="O23" s="596">
        <f t="shared" si="10"/>
        <v>681.37697244973242</v>
      </c>
      <c r="P23" s="598"/>
      <c r="Q23" s="596">
        <f>$BA23*BC23</f>
        <v>9400.8606391429294</v>
      </c>
      <c r="R23" s="598"/>
      <c r="S23" s="596">
        <f>Q23+L23</f>
        <v>51273.945376219177</v>
      </c>
      <c r="T23" s="599"/>
      <c r="U23" s="600">
        <f>((AQ22+(H23/2))*X92-AU23-AV23)*(1-'All Rev &amp; Projects'!$B$16)</f>
        <v>3663.2399304457076</v>
      </c>
      <c r="V23" s="601"/>
      <c r="W23" s="602">
        <f>(((AQ22+(H23/2))*$O$62)-AX23-AU23-AV23)*(1-'All Rev &amp; Projects'!$B$16)</f>
        <v>2818.6942155621587</v>
      </c>
      <c r="X23" s="606"/>
      <c r="Y23" s="603">
        <f>IF(SUM(W19+W20+W21+W22+W23)*0.21&gt;SUM(W23,AM22),SUM(W23,AM22)/2,ROUND(SUM(W19+W20+W21+W22+W23)*0.21/2,0))</f>
        <v>1491</v>
      </c>
      <c r="Z23" s="604"/>
      <c r="AA23" s="605">
        <f>IF(((D23+H23)*'Extended Forecast'!Y92)&gt;AE22+W23-Y23,AE22+W23-Y23,((D23+H23)*'Extended Forecast'!Y92))</f>
        <v>921.41262257624987</v>
      </c>
      <c r="AB23" s="606"/>
      <c r="AC23" s="593">
        <f t="shared" si="13"/>
        <v>22.280999999999999</v>
      </c>
      <c r="AD23" s="614"/>
      <c r="AE23" s="593">
        <f>AE22+W23-Y23-AA23</f>
        <v>6455.1821061359078</v>
      </c>
      <c r="AF23" s="608"/>
      <c r="AG23" s="614"/>
      <c r="AH23" s="593">
        <f t="shared" si="14"/>
        <v>140.88774243381727</v>
      </c>
      <c r="AI23" s="614"/>
      <c r="AJ23" s="593">
        <f t="shared" ref="AJ23:AJ52" si="24">$BA23*BE23</f>
        <v>1449.2428193698449</v>
      </c>
      <c r="AK23" s="614"/>
      <c r="AL23" s="594">
        <f t="shared" si="15"/>
        <v>547.16933541972605</v>
      </c>
      <c r="AM23" s="594">
        <f t="shared" si="16"/>
        <v>7903.424925505753</v>
      </c>
      <c r="AN23" s="598"/>
      <c r="AO23" s="609">
        <f t="shared" si="0"/>
        <v>2017</v>
      </c>
      <c r="AP23" s="598"/>
      <c r="AQ23" s="610">
        <f t="shared" ref="AQ23:AQ52" si="25">S23+AM23</f>
        <v>59177.370301724928</v>
      </c>
      <c r="AR23" s="611"/>
      <c r="AS23" s="563"/>
      <c r="AT23" s="563"/>
      <c r="AU23" s="574">
        <f t="shared" si="17"/>
        <v>129.04013143</v>
      </c>
      <c r="AV23" s="520">
        <f t="shared" si="18"/>
        <v>7.15</v>
      </c>
      <c r="AW23" s="521">
        <f t="shared" si="18"/>
        <v>424.4</v>
      </c>
      <c r="AX23" s="521">
        <f t="shared" ref="AX23:AX52" si="26">AW23*($O$62)</f>
        <v>22.280999999999999</v>
      </c>
      <c r="AY23" s="564">
        <f t="shared" si="19"/>
        <v>0</v>
      </c>
      <c r="AZ23" s="585">
        <f t="shared" si="1"/>
        <v>822.264714883549</v>
      </c>
      <c r="BA23" s="550">
        <f t="shared" si="20"/>
        <v>10850.103458512775</v>
      </c>
      <c r="BB23" s="551">
        <f t="shared" si="3"/>
        <v>41873.084737076249</v>
      </c>
      <c r="BC23" s="552">
        <f t="shared" si="4"/>
        <v>0.86643050686924117</v>
      </c>
      <c r="BD23" s="551">
        <f t="shared" si="5"/>
        <v>6455.1821061359078</v>
      </c>
      <c r="BE23" s="553">
        <f t="shared" si="6"/>
        <v>0.13356949313075886</v>
      </c>
      <c r="BF23" s="612">
        <v>2016</v>
      </c>
      <c r="BG23" s="613">
        <f t="shared" si="23"/>
        <v>7.5982000000000008E-2</v>
      </c>
      <c r="BH23" s="576"/>
      <c r="BI23" s="576"/>
      <c r="BJ23" s="576"/>
      <c r="BK23" s="576"/>
      <c r="BL23" s="576"/>
      <c r="BM23" s="576"/>
      <c r="BN23" s="576"/>
      <c r="BO23" s="576"/>
      <c r="BP23" s="576"/>
      <c r="BQ23" s="576"/>
      <c r="BR23" s="576"/>
      <c r="BS23" s="576"/>
      <c r="BT23" s="482"/>
      <c r="BU23" s="482"/>
      <c r="BV23" s="615"/>
      <c r="BW23" s="616"/>
      <c r="BX23" s="617"/>
      <c r="BY23" s="482"/>
    </row>
    <row r="24" spans="1:101" ht="12.75" customHeight="1">
      <c r="B24" s="590">
        <f t="shared" si="21"/>
        <v>2018</v>
      </c>
      <c r="C24" s="472"/>
      <c r="D24" s="591">
        <f t="shared" si="22"/>
        <v>41873.084737076249</v>
      </c>
      <c r="E24" s="592"/>
      <c r="F24" s="593">
        <v>0</v>
      </c>
      <c r="G24" s="592"/>
      <c r="H24" s="594">
        <v>607</v>
      </c>
      <c r="I24" s="595"/>
      <c r="J24" s="591">
        <f>AA24</f>
        <v>955.80190658421554</v>
      </c>
      <c r="K24" s="904"/>
      <c r="L24" s="596">
        <f t="shared" si="9"/>
        <v>43435.886643660466</v>
      </c>
      <c r="M24" s="597"/>
      <c r="N24" s="596"/>
      <c r="O24" s="596">
        <f t="shared" si="10"/>
        <v>693.1743175134452</v>
      </c>
      <c r="P24" s="598"/>
      <c r="Q24" s="596">
        <f>$BA24*BC24</f>
        <v>10094.034956656375</v>
      </c>
      <c r="R24" s="598"/>
      <c r="S24" s="596">
        <f t="shared" si="12"/>
        <v>53529.92160031684</v>
      </c>
      <c r="T24" s="599"/>
      <c r="U24" s="600">
        <f>((AQ23+(H24/2))*X93-AU24-AV24)*(1-'All Rev &amp; Projects'!$B$16)</f>
        <v>3845.1569748426705</v>
      </c>
      <c r="V24" s="601"/>
      <c r="W24" s="602">
        <f>(((AQ23+(H24/2))*$O$62)-AX24-AU24-AV24)*(1-'All Rev &amp; Projects'!$B$16)</f>
        <v>2960.4033554676589</v>
      </c>
      <c r="X24" s="606"/>
      <c r="Y24" s="603">
        <f>IF(SUM(W20+W21+W22+W23+W24)*0.21&gt;SUM(W24,AM23),SUM(W24,AM23)/2,ROUND(SUM(W20+W21+W22+W23+W24)*0.21/2,0))</f>
        <v>1495</v>
      </c>
      <c r="Z24" s="604"/>
      <c r="AA24" s="605">
        <f>IF(((D24+H24)*'Extended Forecast'!Y93)&gt;AE23+W24-Y24,AE23+W24-Y24,((D24+H24)*'Extended Forecast'!Y93))</f>
        <v>955.80190658421554</v>
      </c>
      <c r="AB24" s="606"/>
      <c r="AC24" s="593">
        <f t="shared" si="13"/>
        <v>22.280999999999999</v>
      </c>
      <c r="AD24" s="607"/>
      <c r="AE24" s="593">
        <f t="shared" ref="AE24:AE51" si="27">AE23+W24-Y24-AA24</f>
        <v>6964.7835550193513</v>
      </c>
      <c r="AF24" s="608"/>
      <c r="AG24" s="607"/>
      <c r="AH24" s="593">
        <f t="shared" si="14"/>
        <v>169.29830186156846</v>
      </c>
      <c r="AI24" s="607"/>
      <c r="AJ24" s="593">
        <f t="shared" si="24"/>
        <v>1618.5411212314134</v>
      </c>
      <c r="AK24" s="607"/>
      <c r="AL24" s="594">
        <f t="shared" si="15"/>
        <v>678.89975074501183</v>
      </c>
      <c r="AM24" s="594">
        <f t="shared" si="16"/>
        <v>8582.3246762507642</v>
      </c>
      <c r="AN24" s="598"/>
      <c r="AO24" s="609">
        <f t="shared" si="0"/>
        <v>2018</v>
      </c>
      <c r="AP24" s="598"/>
      <c r="AQ24" s="610">
        <f t="shared" si="25"/>
        <v>62112.246276567603</v>
      </c>
      <c r="AR24" s="611"/>
      <c r="AS24" s="563"/>
      <c r="AT24" s="563"/>
      <c r="AU24" s="574">
        <f t="shared" si="17"/>
        <v>132.9113353729</v>
      </c>
      <c r="AV24" s="520">
        <f t="shared" si="18"/>
        <v>7.15</v>
      </c>
      <c r="AW24" s="521">
        <f t="shared" si="18"/>
        <v>424.4</v>
      </c>
      <c r="AX24" s="521">
        <f t="shared" si="26"/>
        <v>22.280999999999999</v>
      </c>
      <c r="AY24" s="564">
        <f t="shared" si="19"/>
        <v>0</v>
      </c>
      <c r="AZ24" s="585">
        <f t="shared" si="1"/>
        <v>862.47261937501162</v>
      </c>
      <c r="BA24" s="550">
        <f t="shared" si="20"/>
        <v>11712.576077887787</v>
      </c>
      <c r="BB24" s="551">
        <f t="shared" si="3"/>
        <v>43435.886643660466</v>
      </c>
      <c r="BC24" s="552">
        <f t="shared" si="4"/>
        <v>0.8618116876707369</v>
      </c>
      <c r="BD24" s="551">
        <f t="shared" si="5"/>
        <v>6964.7835550193513</v>
      </c>
      <c r="BE24" s="553">
        <f t="shared" si="6"/>
        <v>0.13818831232926315</v>
      </c>
      <c r="BF24" s="612">
        <v>2017</v>
      </c>
      <c r="BG24" s="613">
        <f t="shared" si="23"/>
        <v>7.5982000000000008E-2</v>
      </c>
      <c r="BH24" s="576"/>
      <c r="BI24" s="576"/>
      <c r="BJ24" s="576"/>
      <c r="BK24" s="576"/>
      <c r="BL24" s="576"/>
      <c r="BM24" s="576"/>
      <c r="BN24" s="576"/>
      <c r="BO24" s="576"/>
      <c r="BP24" s="576"/>
      <c r="BQ24" s="576"/>
      <c r="BR24" s="576"/>
      <c r="BS24" s="576"/>
      <c r="BT24" s="482"/>
      <c r="BU24" s="482"/>
      <c r="BV24" s="615"/>
      <c r="BW24" s="616"/>
      <c r="BX24" s="618"/>
      <c r="BY24" s="482"/>
      <c r="CM24" s="619"/>
      <c r="CN24" s="619"/>
      <c r="CO24" s="619"/>
      <c r="CP24" s="619"/>
      <c r="CQ24" s="619"/>
      <c r="CR24" s="619"/>
      <c r="CS24" s="619"/>
      <c r="CT24" s="619"/>
      <c r="CU24" s="619"/>
      <c r="CV24" s="619"/>
      <c r="CW24" s="619"/>
    </row>
    <row r="25" spans="1:101" ht="12.75" customHeight="1">
      <c r="B25" s="590">
        <f t="shared" si="21"/>
        <v>2019</v>
      </c>
      <c r="C25" s="472"/>
      <c r="D25" s="591">
        <f t="shared" si="22"/>
        <v>43435.886643660466</v>
      </c>
      <c r="E25" s="592"/>
      <c r="F25" s="593">
        <v>0</v>
      </c>
      <c r="G25" s="592"/>
      <c r="H25" s="594">
        <v>607</v>
      </c>
      <c r="I25" s="595"/>
      <c r="J25" s="591">
        <f t="shared" si="8"/>
        <v>990.96494948236045</v>
      </c>
      <c r="K25" s="904"/>
      <c r="L25" s="596">
        <f>SUM(D25,F25,H25,J25)</f>
        <v>45033.851593142826</v>
      </c>
      <c r="M25" s="597"/>
      <c r="N25" s="596"/>
      <c r="O25" s="596">
        <f t="shared" si="10"/>
        <v>694.63216694770927</v>
      </c>
      <c r="P25" s="598"/>
      <c r="Q25" s="596">
        <f t="shared" si="11"/>
        <v>10788.667123604084</v>
      </c>
      <c r="R25" s="598"/>
      <c r="S25" s="596">
        <f t="shared" si="12"/>
        <v>55822.518716746912</v>
      </c>
      <c r="T25" s="599"/>
      <c r="U25" s="600">
        <f>((AQ24+(H25/2))*X94-AU25-AV25)*(1-'All Rev &amp; Projects'!$B$16)</f>
        <v>4037.8063250959422</v>
      </c>
      <c r="V25" s="601"/>
      <c r="W25" s="602">
        <f>(((AQ24+(H25/2))*$O$62)-AX25-AU25-AV25)*(1-'All Rev &amp; Projects'!$B$16)</f>
        <v>3110.497004085712</v>
      </c>
      <c r="X25" s="606"/>
      <c r="Y25" s="603">
        <f>IF(SUM(W21+W22+W23+W24+W25)*0.21&gt;SUM(W25,AM24),SUM(W25,AM24)/2,ROUND(SUM(W21+W22+W23+W24+W25)*0.21/2,0))</f>
        <v>1450</v>
      </c>
      <c r="Z25" s="604"/>
      <c r="AA25" s="605">
        <f>IF(((D25+H25)*'Extended Forecast'!Y94)&gt;AE24+W25-Y25,AE24+W25-Y25,((D25+H25)*'Extended Forecast'!Y94))</f>
        <v>990.96494948236045</v>
      </c>
      <c r="AB25" s="606"/>
      <c r="AC25" s="593">
        <f t="shared" si="13"/>
        <v>22.280999999999999</v>
      </c>
      <c r="AD25" s="607"/>
      <c r="AE25" s="593">
        <f t="shared" si="27"/>
        <v>7634.3156096227031</v>
      </c>
      <c r="AF25" s="608"/>
      <c r="AG25" s="607"/>
      <c r="AH25" s="593">
        <f t="shared" si="14"/>
        <v>210.39615406251846</v>
      </c>
      <c r="AI25" s="607"/>
      <c r="AJ25" s="593">
        <f t="shared" si="24"/>
        <v>1828.9372752939319</v>
      </c>
      <c r="AK25" s="607"/>
      <c r="AL25" s="594">
        <f t="shared" si="15"/>
        <v>879.92820866586999</v>
      </c>
      <c r="AM25" s="594">
        <f t="shared" si="16"/>
        <v>9462.2528849166338</v>
      </c>
      <c r="AN25" s="598"/>
      <c r="AO25" s="609">
        <f t="shared" si="0"/>
        <v>2019</v>
      </c>
      <c r="AP25" s="598"/>
      <c r="AQ25" s="610">
        <f t="shared" si="25"/>
        <v>65284.771601663546</v>
      </c>
      <c r="AR25" s="611"/>
      <c r="AS25" s="563"/>
      <c r="AT25" s="563"/>
      <c r="AU25" s="574">
        <f t="shared" si="17"/>
        <v>136.89867543408701</v>
      </c>
      <c r="AV25" s="520">
        <f t="shared" si="18"/>
        <v>7.15</v>
      </c>
      <c r="AW25" s="521">
        <f t="shared" si="18"/>
        <v>424.4</v>
      </c>
      <c r="AX25" s="521">
        <f t="shared" si="26"/>
        <v>22.280999999999999</v>
      </c>
      <c r="AY25" s="564">
        <f t="shared" si="19"/>
        <v>0</v>
      </c>
      <c r="AZ25" s="585">
        <f t="shared" si="1"/>
        <v>905.02832101023023</v>
      </c>
      <c r="BA25" s="550">
        <f t="shared" si="20"/>
        <v>12617.604398898016</v>
      </c>
      <c r="BB25" s="551">
        <f t="shared" si="3"/>
        <v>45033.851593142826</v>
      </c>
      <c r="BC25" s="552">
        <f t="shared" si="4"/>
        <v>0.8550487701569035</v>
      </c>
      <c r="BD25" s="551">
        <f t="shared" si="5"/>
        <v>7634.3156096227031</v>
      </c>
      <c r="BE25" s="553">
        <f t="shared" si="6"/>
        <v>0.1449512298430965</v>
      </c>
      <c r="BF25" s="612">
        <v>2018</v>
      </c>
      <c r="BG25" s="613">
        <f t="shared" si="23"/>
        <v>7.5982000000000008E-2</v>
      </c>
      <c r="BH25" s="576"/>
      <c r="BI25" s="576"/>
      <c r="BJ25" s="576"/>
      <c r="BK25" s="576"/>
      <c r="BL25" s="576"/>
      <c r="BM25" s="576"/>
      <c r="BN25" s="576"/>
      <c r="BO25" s="576"/>
      <c r="BP25" s="576"/>
      <c r="BQ25" s="576"/>
      <c r="BR25" s="576"/>
      <c r="BS25" s="576"/>
      <c r="BT25" s="482"/>
      <c r="BU25" s="482"/>
      <c r="BV25" s="482"/>
      <c r="BW25" s="482"/>
      <c r="BX25" s="588"/>
      <c r="BY25" s="482"/>
      <c r="CM25" s="620"/>
    </row>
    <row r="26" spans="1:101" ht="12.75" customHeight="1">
      <c r="B26" s="590">
        <f t="shared" si="21"/>
        <v>2020</v>
      </c>
      <c r="C26" s="472"/>
      <c r="D26" s="591">
        <f t="shared" si="22"/>
        <v>45033.851593142826</v>
      </c>
      <c r="E26" s="592"/>
      <c r="F26" s="593">
        <v>0</v>
      </c>
      <c r="G26" s="592"/>
      <c r="H26" s="594">
        <v>644</v>
      </c>
      <c r="I26" s="595"/>
      <c r="J26" s="591">
        <f t="shared" si="8"/>
        <v>1027.7516608457136</v>
      </c>
      <c r="K26" s="904"/>
      <c r="L26" s="596">
        <f t="shared" si="9"/>
        <v>46705.603253988542</v>
      </c>
      <c r="M26" s="597"/>
      <c r="N26" s="596"/>
      <c r="O26" s="596">
        <f t="shared" si="10"/>
        <v>728.06598517748898</v>
      </c>
      <c r="P26" s="598"/>
      <c r="Q26" s="596">
        <f t="shared" si="11"/>
        <v>11516.733108781573</v>
      </c>
      <c r="R26" s="598"/>
      <c r="S26" s="596">
        <f t="shared" si="12"/>
        <v>58222.336362770118</v>
      </c>
      <c r="T26" s="599"/>
      <c r="U26" s="600">
        <f>((AQ25+(H26/2))*X95-AU26-AV26)*(1-'All Rev &amp; Projects'!$B$16)</f>
        <v>4247.4980616143484</v>
      </c>
      <c r="V26" s="601"/>
      <c r="W26" s="602">
        <f>(((AQ25+(H26/2))*$O$62)-AX26-AU26-AV26)*(1-'All Rev &amp; Projects'!$B$16)</f>
        <v>3273.918873390227</v>
      </c>
      <c r="X26" s="476"/>
      <c r="Y26" s="603">
        <f t="shared" ref="Y26:Y51" si="28">IF(SUM(W22:W26)*0.21&gt;SUM(W26,AM25),SUM(W26,AM25)/2,ROUND(SUM(W22:W26)*0.21/2,0))</f>
        <v>1558</v>
      </c>
      <c r="Z26" s="604"/>
      <c r="AA26" s="605">
        <f>IF(((D26+H26)*'Extended Forecast'!Y95)&gt;AE25+W26-Y26,AE25+W26-Y26,((D26+H26)*'Extended Forecast'!Y95))</f>
        <v>1027.7516608457136</v>
      </c>
      <c r="AB26" s="606"/>
      <c r="AC26" s="593">
        <f t="shared" si="13"/>
        <v>22.280999999999999</v>
      </c>
      <c r="AD26" s="607"/>
      <c r="AE26" s="593">
        <f t="shared" si="27"/>
        <v>8322.482822167216</v>
      </c>
      <c r="AF26" s="608"/>
      <c r="AG26" s="607"/>
      <c r="AH26" s="593">
        <f t="shared" si="14"/>
        <v>223.23220304663369</v>
      </c>
      <c r="AI26" s="607"/>
      <c r="AJ26" s="593">
        <f t="shared" si="24"/>
        <v>2052.1694783405655</v>
      </c>
      <c r="AK26" s="607"/>
      <c r="AL26" s="594">
        <f t="shared" si="15"/>
        <v>911.39941559114709</v>
      </c>
      <c r="AM26" s="594">
        <f t="shared" si="16"/>
        <v>10373.652300507782</v>
      </c>
      <c r="AN26" s="598"/>
      <c r="AO26" s="609">
        <f t="shared" si="0"/>
        <v>2020</v>
      </c>
      <c r="AP26" s="598"/>
      <c r="AQ26" s="610">
        <f t="shared" si="25"/>
        <v>68595.988663277894</v>
      </c>
      <c r="AR26" s="611"/>
      <c r="AS26" s="563"/>
      <c r="AT26" s="563"/>
      <c r="AU26" s="574">
        <f t="shared" si="17"/>
        <v>141.00563569710962</v>
      </c>
      <c r="AV26" s="520">
        <f t="shared" si="18"/>
        <v>7.15</v>
      </c>
      <c r="AW26" s="521">
        <f t="shared" si="18"/>
        <v>424.4</v>
      </c>
      <c r="AX26" s="521">
        <f t="shared" si="26"/>
        <v>22.280999999999999</v>
      </c>
      <c r="AY26" s="564">
        <f t="shared" si="19"/>
        <v>0</v>
      </c>
      <c r="AZ26" s="585">
        <f t="shared" si="1"/>
        <v>951.29818822412153</v>
      </c>
      <c r="BA26" s="550">
        <f t="shared" si="20"/>
        <v>13568.902587122138</v>
      </c>
      <c r="BB26" s="551">
        <f t="shared" si="3"/>
        <v>46705.603253988542</v>
      </c>
      <c r="BC26" s="552">
        <f t="shared" si="4"/>
        <v>0.84875936243449623</v>
      </c>
      <c r="BD26" s="551">
        <f t="shared" si="5"/>
        <v>8322.482822167216</v>
      </c>
      <c r="BE26" s="553">
        <f t="shared" si="6"/>
        <v>0.15124063756550374</v>
      </c>
      <c r="BF26" s="612">
        <v>2019</v>
      </c>
      <c r="BG26" s="613">
        <f t="shared" si="23"/>
        <v>7.5982000000000008E-2</v>
      </c>
      <c r="BH26" s="576"/>
      <c r="BI26" s="576"/>
      <c r="BJ26" s="576"/>
      <c r="BK26" s="576"/>
      <c r="BL26" s="576"/>
      <c r="BM26" s="576"/>
      <c r="BN26" s="576"/>
      <c r="BO26" s="576"/>
      <c r="BP26" s="576"/>
      <c r="BQ26" s="576"/>
      <c r="BR26" s="576"/>
      <c r="BS26" s="576"/>
      <c r="BT26" s="482"/>
      <c r="BU26" s="482"/>
      <c r="BV26" s="482"/>
      <c r="BW26" s="482"/>
      <c r="BX26" s="588"/>
      <c r="BY26" s="482"/>
      <c r="CM26" s="620"/>
    </row>
    <row r="27" spans="1:101" ht="12.75" customHeight="1">
      <c r="B27" s="590">
        <f t="shared" si="21"/>
        <v>2021</v>
      </c>
      <c r="C27" s="472"/>
      <c r="D27" s="591">
        <f t="shared" si="22"/>
        <v>46705.603253988542</v>
      </c>
      <c r="E27" s="592"/>
      <c r="F27" s="593">
        <v>0</v>
      </c>
      <c r="G27" s="592"/>
      <c r="H27" s="594">
        <v>604</v>
      </c>
      <c r="I27" s="595"/>
      <c r="J27" s="591">
        <f t="shared" si="8"/>
        <v>1064.4660732147422</v>
      </c>
      <c r="K27" s="904"/>
      <c r="L27" s="596">
        <f t="shared" si="9"/>
        <v>48374.06932720328</v>
      </c>
      <c r="M27" s="597"/>
      <c r="N27" s="596"/>
      <c r="O27" s="596">
        <f t="shared" si="10"/>
        <v>752.83808543119449</v>
      </c>
      <c r="P27" s="598"/>
      <c r="Q27" s="596">
        <f t="shared" si="11"/>
        <v>12269.571194212767</v>
      </c>
      <c r="R27" s="598"/>
      <c r="S27" s="596">
        <f t="shared" si="12"/>
        <v>60643.640521416048</v>
      </c>
      <c r="T27" s="599"/>
      <c r="U27" s="600">
        <f>((AQ26+(H27/2))*X96-AU27-AV27)*(1-'All Rev &amp; Projects'!$B$16)</f>
        <v>4463.7794356715967</v>
      </c>
      <c r="V27" s="601"/>
      <c r="W27" s="602">
        <f>(((AQ26+(H27/2))*$O$62)-AX27-AU27-AV27)*(1-'All Rev &amp; Projects'!$B$16)</f>
        <v>3442.4776000540664</v>
      </c>
      <c r="X27" s="476"/>
      <c r="Y27" s="603">
        <f t="shared" si="28"/>
        <v>1639</v>
      </c>
      <c r="Z27" s="604"/>
      <c r="AA27" s="605">
        <f>IF(((D27+H27)*'Extended Forecast'!Y96)&gt;AE26+W27-Y27,AE26+W27-Y27,((D27+H27)*'Extended Forecast'!Y96))</f>
        <v>1064.4660732147422</v>
      </c>
      <c r="AB27" s="606"/>
      <c r="AC27" s="593">
        <f t="shared" si="13"/>
        <v>22.280999999999999</v>
      </c>
      <c r="AD27" s="607"/>
      <c r="AE27" s="593">
        <f t="shared" si="27"/>
        <v>9061.4943490065398</v>
      </c>
      <c r="AF27" s="608"/>
      <c r="AG27" s="607"/>
      <c r="AH27" s="593">
        <f t="shared" si="14"/>
        <v>246.18275018633449</v>
      </c>
      <c r="AI27" s="607"/>
      <c r="AJ27" s="593">
        <f t="shared" si="24"/>
        <v>2298.3522285269</v>
      </c>
      <c r="AK27" s="607"/>
      <c r="AL27" s="594">
        <f t="shared" si="15"/>
        <v>985.19427702565872</v>
      </c>
      <c r="AM27" s="594">
        <f t="shared" si="16"/>
        <v>11358.846577533441</v>
      </c>
      <c r="AN27" s="598"/>
      <c r="AO27" s="609">
        <f t="shared" si="0"/>
        <v>2021</v>
      </c>
      <c r="AP27" s="598"/>
      <c r="AQ27" s="610">
        <f t="shared" si="25"/>
        <v>72002.487098949496</v>
      </c>
      <c r="AR27" s="611"/>
      <c r="AS27" s="563"/>
      <c r="AT27" s="563"/>
      <c r="AU27" s="574">
        <f t="shared" si="17"/>
        <v>145.23580476802292</v>
      </c>
      <c r="AV27" s="520">
        <f t="shared" si="18"/>
        <v>7.15</v>
      </c>
      <c r="AW27" s="521">
        <f t="shared" si="18"/>
        <v>424.4</v>
      </c>
      <c r="AX27" s="521">
        <f t="shared" si="26"/>
        <v>22.280999999999999</v>
      </c>
      <c r="AY27" s="564">
        <f t="shared" si="19"/>
        <v>0</v>
      </c>
      <c r="AZ27" s="585">
        <f t="shared" si="1"/>
        <v>999.02083561753034</v>
      </c>
      <c r="BA27" s="550">
        <f t="shared" si="20"/>
        <v>14567.923422739668</v>
      </c>
      <c r="BB27" s="551">
        <f t="shared" si="3"/>
        <v>48374.06932720328</v>
      </c>
      <c r="BC27" s="552">
        <f t="shared" si="4"/>
        <v>0.84223199409880833</v>
      </c>
      <c r="BD27" s="551">
        <f t="shared" si="5"/>
        <v>9061.4943490065398</v>
      </c>
      <c r="BE27" s="553">
        <f t="shared" si="6"/>
        <v>0.15776800590119164</v>
      </c>
      <c r="BF27" s="612">
        <v>2020</v>
      </c>
      <c r="BG27" s="613">
        <f t="shared" si="23"/>
        <v>7.5982000000000008E-2</v>
      </c>
      <c r="BH27" s="576"/>
      <c r="BI27" s="576"/>
      <c r="BJ27" s="576"/>
      <c r="BK27" s="576"/>
      <c r="BL27" s="576"/>
      <c r="BM27" s="576"/>
      <c r="BN27" s="576"/>
      <c r="BO27" s="576"/>
      <c r="BP27" s="576"/>
      <c r="BQ27" s="576"/>
      <c r="BR27" s="576"/>
      <c r="BS27" s="576"/>
      <c r="BT27" s="482"/>
      <c r="BU27" s="482"/>
      <c r="BV27" s="482"/>
      <c r="BW27" s="482"/>
      <c r="BX27" s="588"/>
      <c r="BY27" s="482"/>
      <c r="CA27" s="621"/>
      <c r="CM27" s="620"/>
    </row>
    <row r="28" spans="1:101" ht="12.75" customHeight="1">
      <c r="B28" s="590">
        <f t="shared" si="21"/>
        <v>2022</v>
      </c>
      <c r="C28" s="472"/>
      <c r="D28" s="591">
        <f t="shared" si="22"/>
        <v>48374.06932720328</v>
      </c>
      <c r="E28" s="592"/>
      <c r="F28" s="593">
        <v>0</v>
      </c>
      <c r="G28" s="592"/>
      <c r="H28" s="594">
        <v>558</v>
      </c>
      <c r="I28" s="595"/>
      <c r="J28" s="591">
        <f t="shared" si="8"/>
        <v>1100.9715598620737</v>
      </c>
      <c r="K28" s="904"/>
      <c r="L28" s="596">
        <f t="shared" si="9"/>
        <v>50033.040887065355</v>
      </c>
      <c r="M28" s="597"/>
      <c r="N28" s="596"/>
      <c r="O28" s="596">
        <f t="shared" si="10"/>
        <v>776.867412989277</v>
      </c>
      <c r="P28" s="598"/>
      <c r="Q28" s="596">
        <f t="shared" si="11"/>
        <v>13046.438607202044</v>
      </c>
      <c r="R28" s="598"/>
      <c r="S28" s="596">
        <f t="shared" si="12"/>
        <v>63079.479494267398</v>
      </c>
      <c r="T28" s="599"/>
      <c r="U28" s="600">
        <f>((AQ27+(H28/2))*X97-AU28-AV28)*(1-'All Rev &amp; Projects'!$B$16)</f>
        <v>4686.116756718553</v>
      </c>
      <c r="V28" s="601"/>
      <c r="W28" s="602">
        <f>(((AQ27+(H28/2))*$O$62)-AX28-AU28-AV28)*(1-'All Rev &amp; Projects'!$B$16)</f>
        <v>3615.754193783785</v>
      </c>
      <c r="X28" s="476"/>
      <c r="Y28" s="603">
        <f t="shared" si="28"/>
        <v>1722</v>
      </c>
      <c r="Z28" s="604"/>
      <c r="AA28" s="605">
        <f>IF(((D28+H28)*'Extended Forecast'!Y97)&gt;AE27+W28-Y28,AE27+W28-Y28,((D28+H28)*'Extended Forecast'!Y97))</f>
        <v>1100.9715598620737</v>
      </c>
      <c r="AB28" s="606"/>
      <c r="AC28" s="593">
        <f t="shared" si="13"/>
        <v>22.280999999999999</v>
      </c>
      <c r="AD28" s="607"/>
      <c r="AE28" s="593">
        <f t="shared" si="27"/>
        <v>9854.2769829282515</v>
      </c>
      <c r="AF28" s="608"/>
      <c r="AG28" s="607"/>
      <c r="AH28" s="593">
        <f t="shared" si="14"/>
        <v>271.2141499454915</v>
      </c>
      <c r="AI28" s="607"/>
      <c r="AJ28" s="593">
        <f t="shared" si="24"/>
        <v>2569.5663784723915</v>
      </c>
      <c r="AK28" s="607"/>
      <c r="AL28" s="594">
        <f t="shared" si="15"/>
        <v>1063.9967838672028</v>
      </c>
      <c r="AM28" s="594">
        <f t="shared" si="16"/>
        <v>12422.843361400643</v>
      </c>
      <c r="AN28" s="598"/>
      <c r="AO28" s="609">
        <f t="shared" si="0"/>
        <v>2022</v>
      </c>
      <c r="AP28" s="598"/>
      <c r="AQ28" s="610">
        <f t="shared" si="25"/>
        <v>75502.322855668041</v>
      </c>
      <c r="AR28" s="611"/>
      <c r="AS28" s="563"/>
      <c r="AT28" s="563"/>
      <c r="AU28" s="574">
        <f t="shared" si="17"/>
        <v>149.59287891106362</v>
      </c>
      <c r="AV28" s="520">
        <f t="shared" si="18"/>
        <v>7.15</v>
      </c>
      <c r="AW28" s="521">
        <f t="shared" si="18"/>
        <v>424.4</v>
      </c>
      <c r="AX28" s="521">
        <f t="shared" si="26"/>
        <v>22.280999999999999</v>
      </c>
      <c r="AY28" s="564">
        <f t="shared" si="19"/>
        <v>0</v>
      </c>
      <c r="AZ28" s="585">
        <f t="shared" si="1"/>
        <v>1048.081562934768</v>
      </c>
      <c r="BA28" s="550">
        <f t="shared" si="20"/>
        <v>15616.004985674437</v>
      </c>
      <c r="BB28" s="551">
        <f t="shared" si="3"/>
        <v>50033.040887065355</v>
      </c>
      <c r="BC28" s="552">
        <f t="shared" si="4"/>
        <v>0.83545302522446552</v>
      </c>
      <c r="BD28" s="551">
        <f t="shared" si="5"/>
        <v>9854.2769829282515</v>
      </c>
      <c r="BE28" s="553">
        <f t="shared" si="6"/>
        <v>0.16454697477553443</v>
      </c>
      <c r="BF28" s="612">
        <v>2021</v>
      </c>
      <c r="BG28" s="613">
        <f t="shared" si="23"/>
        <v>7.5982000000000008E-2</v>
      </c>
      <c r="BH28" s="576"/>
      <c r="BI28" s="576"/>
      <c r="BJ28" s="576"/>
      <c r="BK28" s="576"/>
      <c r="BL28" s="576"/>
      <c r="BM28" s="576"/>
      <c r="BN28" s="576"/>
      <c r="BO28" s="576"/>
      <c r="BP28" s="576"/>
      <c r="BQ28" s="576"/>
      <c r="BR28" s="576"/>
      <c r="BS28" s="576"/>
      <c r="BW28" s="427"/>
      <c r="CA28" s="621"/>
      <c r="CM28" s="620"/>
    </row>
    <row r="29" spans="1:101" ht="12.75" customHeight="1">
      <c r="B29" s="590">
        <f t="shared" si="21"/>
        <v>2023</v>
      </c>
      <c r="C29" s="472"/>
      <c r="D29" s="591">
        <f t="shared" si="22"/>
        <v>50033.040887065355</v>
      </c>
      <c r="E29" s="592"/>
      <c r="F29" s="593">
        <v>0</v>
      </c>
      <c r="G29" s="592"/>
      <c r="H29" s="594">
        <v>539</v>
      </c>
      <c r="I29" s="595"/>
      <c r="J29" s="591">
        <f t="shared" si="8"/>
        <v>1137.8709199589705</v>
      </c>
      <c r="K29" s="904"/>
      <c r="L29" s="596">
        <f t="shared" si="9"/>
        <v>51709.911807024328</v>
      </c>
      <c r="M29" s="597"/>
      <c r="N29" s="596"/>
      <c r="O29" s="596">
        <f t="shared" si="10"/>
        <v>802.36808989763085</v>
      </c>
      <c r="P29" s="598"/>
      <c r="Q29" s="596">
        <f t="shared" si="11"/>
        <v>13848.806697099675</v>
      </c>
      <c r="R29" s="598"/>
      <c r="S29" s="596">
        <f>Q29+L29</f>
        <v>65558.718504124001</v>
      </c>
      <c r="T29" s="599"/>
      <c r="U29" s="600">
        <f>((AQ28+(H29/2))*X98-AU29-AV29)*(1-'All Rev &amp; Projects'!$B$16)</f>
        <v>4915.4814660513639</v>
      </c>
      <c r="V29" s="601"/>
      <c r="W29" s="602">
        <f>(((AQ28+(H29/2))*$O$62)-AX29-AU29-AV29)*(1-'All Rev &amp; Projects'!$B$16)</f>
        <v>3794.5090346441766</v>
      </c>
      <c r="X29" s="476"/>
      <c r="Y29" s="603">
        <f t="shared" si="28"/>
        <v>1810</v>
      </c>
      <c r="Z29" s="604"/>
      <c r="AA29" s="605">
        <f>IF(((D29+H29)*'Extended Forecast'!Y98)&gt;AE28+W29-Y29,AE28+W29-Y29,((D29+H29)*'Extended Forecast'!Y98))</f>
        <v>1137.8709199589705</v>
      </c>
      <c r="AB29" s="606"/>
      <c r="AC29" s="593">
        <f t="shared" si="13"/>
        <v>22.280999999999999</v>
      </c>
      <c r="AD29" s="607"/>
      <c r="AE29" s="593">
        <f t="shared" si="27"/>
        <v>10700.915097613457</v>
      </c>
      <c r="AF29" s="608"/>
      <c r="AG29" s="607"/>
      <c r="AH29" s="593">
        <f t="shared" si="14"/>
        <v>296.3233415095583</v>
      </c>
      <c r="AI29" s="607"/>
      <c r="AJ29" s="593">
        <f t="shared" si="24"/>
        <v>2865.8897199819498</v>
      </c>
      <c r="AK29" s="607"/>
      <c r="AL29" s="594">
        <f t="shared" si="15"/>
        <v>1142.9614561947644</v>
      </c>
      <c r="AM29" s="594">
        <f t="shared" si="16"/>
        <v>13565.804817595406</v>
      </c>
      <c r="AN29" s="598"/>
      <c r="AO29" s="609">
        <f t="shared" si="0"/>
        <v>2023</v>
      </c>
      <c r="AP29" s="598"/>
      <c r="AQ29" s="610">
        <f t="shared" si="25"/>
        <v>79124.523321719404</v>
      </c>
      <c r="AR29" s="611"/>
      <c r="AS29" s="563"/>
      <c r="AT29" s="563"/>
      <c r="AU29" s="574">
        <f t="shared" si="17"/>
        <v>154.08066527839554</v>
      </c>
      <c r="AV29" s="520">
        <f t="shared" si="18"/>
        <v>7.15</v>
      </c>
      <c r="AW29" s="521">
        <f t="shared" si="18"/>
        <v>424.4</v>
      </c>
      <c r="AX29" s="521">
        <f t="shared" si="26"/>
        <v>22.280999999999999</v>
      </c>
      <c r="AY29" s="564">
        <f t="shared" si="19"/>
        <v>0</v>
      </c>
      <c r="AZ29" s="585">
        <f t="shared" si="1"/>
        <v>1098.6914314071873</v>
      </c>
      <c r="BA29" s="550">
        <f t="shared" si="20"/>
        <v>16714.696417081625</v>
      </c>
      <c r="BB29" s="551">
        <f t="shared" si="3"/>
        <v>51709.911807024328</v>
      </c>
      <c r="BC29" s="552">
        <f t="shared" si="4"/>
        <v>0.82854072557051373</v>
      </c>
      <c r="BD29" s="551">
        <f t="shared" si="5"/>
        <v>10700.915097613457</v>
      </c>
      <c r="BE29" s="553">
        <f t="shared" si="6"/>
        <v>0.1714592744294863</v>
      </c>
      <c r="BF29" s="612">
        <v>2022</v>
      </c>
      <c r="BG29" s="613">
        <f t="shared" si="23"/>
        <v>7.5982000000000008E-2</v>
      </c>
      <c r="BH29" s="576"/>
      <c r="BI29" s="576"/>
      <c r="BJ29" s="576"/>
      <c r="BK29" s="576"/>
      <c r="BL29" s="576"/>
      <c r="BM29" s="576"/>
      <c r="BN29" s="576"/>
      <c r="BO29" s="576"/>
      <c r="BP29" s="576"/>
      <c r="BQ29" s="576"/>
      <c r="BR29" s="576"/>
      <c r="BS29" s="576"/>
      <c r="BW29" s="427"/>
      <c r="CA29" s="621"/>
      <c r="CM29" s="620"/>
    </row>
    <row r="30" spans="1:101" ht="12.75" customHeight="1">
      <c r="B30" s="590">
        <f t="shared" si="21"/>
        <v>2024</v>
      </c>
      <c r="C30" s="471"/>
      <c r="D30" s="591">
        <f t="shared" si="22"/>
        <v>51709.911807024328</v>
      </c>
      <c r="E30" s="592"/>
      <c r="F30" s="593">
        <v>0</v>
      </c>
      <c r="G30" s="592"/>
      <c r="H30" s="594">
        <v>519</v>
      </c>
      <c r="I30" s="595"/>
      <c r="J30" s="591">
        <f t="shared" si="8"/>
        <v>1175.1505156580474</v>
      </c>
      <c r="K30" s="904"/>
      <c r="L30" s="596">
        <f t="shared" si="9"/>
        <v>53404.062322682374</v>
      </c>
      <c r="M30" s="597"/>
      <c r="N30" s="596"/>
      <c r="O30" s="596">
        <f t="shared" si="10"/>
        <v>827.836458468606</v>
      </c>
      <c r="P30" s="598"/>
      <c r="Q30" s="596">
        <f>$BA30*BC30</f>
        <v>14676.643155568281</v>
      </c>
      <c r="R30" s="598"/>
      <c r="S30" s="596">
        <f t="shared" si="12"/>
        <v>68080.70547825066</v>
      </c>
      <c r="T30" s="599"/>
      <c r="U30" s="600">
        <f>((AQ29+(H30/2))*X99-AU30-AV30)*(1-'All Rev &amp; Projects'!$B$16)</f>
        <v>5152.8764773184539</v>
      </c>
      <c r="V30" s="601"/>
      <c r="W30" s="602">
        <f>(((AQ29+(H30/2))*$O$62)-AX30-AU30-AV30)*(1-'All Rev &amp; Projects'!$B$16)</f>
        <v>3979.5271391535207</v>
      </c>
      <c r="X30" s="476"/>
      <c r="Y30" s="603">
        <f t="shared" si="28"/>
        <v>1901</v>
      </c>
      <c r="Z30" s="604"/>
      <c r="AA30" s="605">
        <f>IF(((D30+H30)*'Extended Forecast'!Y99)&gt;AE29+W30-Y30,AE29+W30-Y30,((D30+H30)*'Extended Forecast'!Y99))</f>
        <v>1175.1505156580474</v>
      </c>
      <c r="AB30" s="606"/>
      <c r="AC30" s="593">
        <f t="shared" si="13"/>
        <v>22.280999999999999</v>
      </c>
      <c r="AD30" s="607"/>
      <c r="AE30" s="593">
        <f t="shared" si="27"/>
        <v>11604.29172110893</v>
      </c>
      <c r="AF30" s="608"/>
      <c r="AG30" s="607"/>
      <c r="AH30" s="593">
        <f t="shared" si="14"/>
        <v>323.23187969632409</v>
      </c>
      <c r="AI30" s="607"/>
      <c r="AJ30" s="593">
        <f t="shared" si="24"/>
        <v>3189.1215996782739</v>
      </c>
      <c r="AK30" s="607"/>
      <c r="AL30" s="594">
        <f t="shared" si="15"/>
        <v>1226.6085031917974</v>
      </c>
      <c r="AM30" s="594">
        <f t="shared" si="16"/>
        <v>14792.413320787204</v>
      </c>
      <c r="AN30" s="622"/>
      <c r="AO30" s="609">
        <f t="shared" si="0"/>
        <v>2024</v>
      </c>
      <c r="AP30" s="599"/>
      <c r="AQ30" s="610">
        <f t="shared" si="25"/>
        <v>82873.118799037868</v>
      </c>
      <c r="AR30" s="611"/>
      <c r="AS30" s="563"/>
      <c r="AT30" s="563"/>
      <c r="AU30" s="574">
        <f t="shared" ref="AU30:AU52" si="29">AU29*(1.03)</f>
        <v>158.70308523674743</v>
      </c>
      <c r="AV30" s="520">
        <f t="shared" si="18"/>
        <v>7.15</v>
      </c>
      <c r="AW30" s="521">
        <f t="shared" si="18"/>
        <v>424.4</v>
      </c>
      <c r="AX30" s="521">
        <f t="shared" si="26"/>
        <v>22.280999999999999</v>
      </c>
      <c r="AY30" s="564">
        <f t="shared" si="19"/>
        <v>0</v>
      </c>
      <c r="AZ30" s="585">
        <f t="shared" si="1"/>
        <v>1151.0683381649333</v>
      </c>
      <c r="BA30" s="550">
        <f t="shared" si="20"/>
        <v>17865.764755246557</v>
      </c>
      <c r="BB30" s="551">
        <f t="shared" si="3"/>
        <v>53404.062322682374</v>
      </c>
      <c r="BC30" s="552">
        <f t="shared" si="4"/>
        <v>0.82149537714349785</v>
      </c>
      <c r="BD30" s="551">
        <f t="shared" si="5"/>
        <v>11604.29172110893</v>
      </c>
      <c r="BE30" s="553">
        <f t="shared" si="6"/>
        <v>0.17850462285650209</v>
      </c>
      <c r="BF30" s="612">
        <v>2023</v>
      </c>
      <c r="BG30" s="613">
        <f t="shared" si="23"/>
        <v>7.5982000000000008E-2</v>
      </c>
      <c r="BH30" s="576"/>
      <c r="BI30" s="576"/>
      <c r="BJ30" s="576"/>
      <c r="BK30" s="576"/>
      <c r="BL30" s="576"/>
      <c r="BM30" s="576"/>
      <c r="BN30" s="576"/>
      <c r="BO30" s="576"/>
      <c r="BP30" s="576"/>
      <c r="BQ30" s="576"/>
      <c r="BR30" s="576"/>
      <c r="BS30" s="576"/>
      <c r="BU30" s="623"/>
      <c r="BV30" s="623"/>
      <c r="BW30" s="624"/>
      <c r="BX30" s="623"/>
      <c r="BY30" s="623"/>
      <c r="BZ30" s="623"/>
      <c r="CA30" s="625"/>
      <c r="CM30" s="620"/>
    </row>
    <row r="31" spans="1:101" ht="12.75" customHeight="1">
      <c r="B31" s="590">
        <f t="shared" si="21"/>
        <v>2025</v>
      </c>
      <c r="C31" s="472"/>
      <c r="D31" s="591">
        <f t="shared" si="22"/>
        <v>53404.062322682374</v>
      </c>
      <c r="E31" s="592"/>
      <c r="F31" s="593">
        <v>0</v>
      </c>
      <c r="G31" s="592"/>
      <c r="H31" s="594">
        <v>468</v>
      </c>
      <c r="I31" s="595"/>
      <c r="J31" s="591">
        <f t="shared" si="8"/>
        <v>1212.1214022603533</v>
      </c>
      <c r="K31" s="904"/>
      <c r="L31" s="596">
        <f t="shared" si="9"/>
        <v>55084.183724942726</v>
      </c>
      <c r="M31" s="597"/>
      <c r="N31" s="601"/>
      <c r="O31" s="596">
        <f t="shared" si="10"/>
        <v>851.45538783684606</v>
      </c>
      <c r="P31" s="598"/>
      <c r="Q31" s="596">
        <f t="shared" si="11"/>
        <v>15528.098543405127</v>
      </c>
      <c r="R31" s="598"/>
      <c r="S31" s="596">
        <f t="shared" si="12"/>
        <v>70612.282268347859</v>
      </c>
      <c r="T31" s="599"/>
      <c r="U31" s="600">
        <f>((AQ30+(H31/2))*X100-AU31-AV31)*(1-'All Rev &amp; Projects'!$B$16)</f>
        <v>5397.562781741688</v>
      </c>
      <c r="V31" s="601"/>
      <c r="W31" s="602">
        <f>(((AQ30+(H31/2))*$O$62)-AX31-AU31-AV31)*(1-'All Rev &amp; Projects'!$B$16)</f>
        <v>4170.2285591556383</v>
      </c>
      <c r="X31" s="476"/>
      <c r="Y31" s="603">
        <f t="shared" si="28"/>
        <v>1995</v>
      </c>
      <c r="Z31" s="604"/>
      <c r="AA31" s="605">
        <f>IF(((D31+H31)*'Extended Forecast'!Y100)&gt;AE30+W31-Y31,AE30+W31-Y31,((D31+H31)*'Extended Forecast'!Y100))</f>
        <v>1212.1214022603533</v>
      </c>
      <c r="AB31" s="606"/>
      <c r="AC31" s="593">
        <f t="shared" si="13"/>
        <v>22.280999999999999</v>
      </c>
      <c r="AD31" s="607"/>
      <c r="AE31" s="593">
        <f t="shared" si="27"/>
        <v>12567.398878004216</v>
      </c>
      <c r="AF31" s="626"/>
      <c r="AG31" s="607"/>
      <c r="AH31" s="593">
        <f t="shared" si="14"/>
        <v>353.59783474920641</v>
      </c>
      <c r="AI31" s="607"/>
      <c r="AJ31" s="593">
        <f t="shared" si="24"/>
        <v>3542.7194344274803</v>
      </c>
      <c r="AK31" s="607"/>
      <c r="AL31" s="594">
        <f t="shared" si="15"/>
        <v>1316.7049916444914</v>
      </c>
      <c r="AM31" s="594">
        <f t="shared" si="16"/>
        <v>16109.118312431696</v>
      </c>
      <c r="AN31" s="598"/>
      <c r="AO31" s="609">
        <f t="shared" si="0"/>
        <v>2025</v>
      </c>
      <c r="AP31" s="598"/>
      <c r="AQ31" s="610">
        <f t="shared" si="25"/>
        <v>86721.400580779562</v>
      </c>
      <c r="AR31" s="611"/>
      <c r="AS31" s="627">
        <f>B31</f>
        <v>2025</v>
      </c>
      <c r="AT31" s="563"/>
      <c r="AU31" s="574">
        <f t="shared" si="29"/>
        <v>163.46417779384984</v>
      </c>
      <c r="AV31" s="520">
        <f t="shared" si="18"/>
        <v>7.15</v>
      </c>
      <c r="AW31" s="521">
        <f t="shared" si="18"/>
        <v>424.4</v>
      </c>
      <c r="AX31" s="521">
        <f t="shared" si="26"/>
        <v>22.280999999999999</v>
      </c>
      <c r="AY31" s="564">
        <f t="shared" si="19"/>
        <v>0</v>
      </c>
      <c r="AZ31" s="585">
        <f t="shared" si="1"/>
        <v>1205.0532225860497</v>
      </c>
      <c r="BA31" s="550">
        <f t="shared" si="20"/>
        <v>19070.817977832608</v>
      </c>
      <c r="BB31" s="551">
        <f t="shared" si="3"/>
        <v>55084.183724942726</v>
      </c>
      <c r="BC31" s="552">
        <f t="shared" si="4"/>
        <v>0.81423348287706165</v>
      </c>
      <c r="BD31" s="551">
        <f t="shared" si="5"/>
        <v>12567.398878004216</v>
      </c>
      <c r="BE31" s="553">
        <f t="shared" si="6"/>
        <v>0.18576651712293826</v>
      </c>
      <c r="BF31" s="612">
        <v>2024</v>
      </c>
      <c r="BG31" s="613">
        <f t="shared" si="23"/>
        <v>7.5982000000000008E-2</v>
      </c>
      <c r="BU31" s="623"/>
      <c r="BV31" s="623"/>
      <c r="BW31" s="624"/>
      <c r="BX31" s="623"/>
      <c r="BY31" s="623"/>
      <c r="BZ31" s="623"/>
      <c r="CA31" s="625"/>
      <c r="CM31" s="620"/>
    </row>
    <row r="32" spans="1:101" ht="12.75" customHeight="1">
      <c r="B32" s="590">
        <f t="shared" si="21"/>
        <v>2026</v>
      </c>
      <c r="C32" s="472"/>
      <c r="D32" s="591">
        <f t="shared" si="22"/>
        <v>55084.183724942726</v>
      </c>
      <c r="E32" s="592"/>
      <c r="F32" s="593">
        <v>0</v>
      </c>
      <c r="G32" s="592"/>
      <c r="H32" s="628">
        <f>H104</f>
        <v>439.91999999999996</v>
      </c>
      <c r="I32" s="595"/>
      <c r="J32" s="591">
        <f t="shared" si="8"/>
        <v>1249.2923338112112</v>
      </c>
      <c r="K32" s="904"/>
      <c r="L32" s="596">
        <f t="shared" si="9"/>
        <v>56773.396058753933</v>
      </c>
      <c r="M32" s="629"/>
      <c r="N32" s="630"/>
      <c r="O32" s="596">
        <f t="shared" si="10"/>
        <v>875.90934655770434</v>
      </c>
      <c r="P32" s="601"/>
      <c r="Q32" s="596">
        <f t="shared" si="11"/>
        <v>16404.007889962832</v>
      </c>
      <c r="R32" s="598"/>
      <c r="S32" s="596">
        <f t="shared" si="12"/>
        <v>73177.403948716761</v>
      </c>
      <c r="T32" s="599"/>
      <c r="U32" s="600">
        <f>((AQ31+(H32/2))*X101-AU32-AV32)*(1-'All Rev &amp; Projects'!$B$16)</f>
        <v>5649.5530557845659</v>
      </c>
      <c r="V32" s="601"/>
      <c r="W32" s="602">
        <f>(((AQ31+(H32/2))*$O$62)-AX32-AU32-AV32)*(1-'All Rev &amp; Projects'!$B$16)</f>
        <v>4366.6223273632622</v>
      </c>
      <c r="X32" s="476"/>
      <c r="Y32" s="603">
        <f t="shared" si="28"/>
        <v>2092</v>
      </c>
      <c r="Z32" s="604"/>
      <c r="AA32" s="605">
        <f>IF(((D32+H32)*'Extended Forecast'!Y101)&gt;AE31+W32-Y32,AE31+W32-Y32,((D32+H32)*'Extended Forecast'!Y101))</f>
        <v>1249.2923338112112</v>
      </c>
      <c r="AB32" s="606"/>
      <c r="AC32" s="593">
        <f t="shared" si="13"/>
        <v>22.280999999999999</v>
      </c>
      <c r="AD32" s="607"/>
      <c r="AE32" s="593">
        <f t="shared" si="27"/>
        <v>13592.728871556266</v>
      </c>
      <c r="AF32" s="608"/>
      <c r="AG32" s="607"/>
      <c r="AH32" s="593">
        <f t="shared" si="14"/>
        <v>384.74038186360212</v>
      </c>
      <c r="AI32" s="607"/>
      <c r="AJ32" s="593">
        <f t="shared" si="24"/>
        <v>3927.4598162910825</v>
      </c>
      <c r="AK32" s="607"/>
      <c r="AL32" s="594">
        <f t="shared" si="15"/>
        <v>1410.0703754156532</v>
      </c>
      <c r="AM32" s="594">
        <f t="shared" si="16"/>
        <v>17519.188687847349</v>
      </c>
      <c r="AN32" s="598"/>
      <c r="AO32" s="609">
        <f t="shared" si="0"/>
        <v>2026</v>
      </c>
      <c r="AP32" s="598"/>
      <c r="AQ32" s="610">
        <f t="shared" si="25"/>
        <v>90696.592636564106</v>
      </c>
      <c r="AR32" s="611"/>
      <c r="AS32" s="631">
        <f>B32</f>
        <v>2026</v>
      </c>
      <c r="AT32" s="563"/>
      <c r="AU32" s="574">
        <f t="shared" si="29"/>
        <v>168.36810312766534</v>
      </c>
      <c r="AV32" s="520">
        <f t="shared" si="18"/>
        <v>7.15</v>
      </c>
      <c r="AW32" s="521">
        <f t="shared" si="18"/>
        <v>424.4</v>
      </c>
      <c r="AX32" s="521">
        <f t="shared" si="26"/>
        <v>22.280999999999999</v>
      </c>
      <c r="AY32" s="564">
        <f t="shared" si="19"/>
        <v>0</v>
      </c>
      <c r="AZ32" s="585">
        <f t="shared" si="1"/>
        <v>1260.6497284213037</v>
      </c>
      <c r="BA32" s="550">
        <f t="shared" si="20"/>
        <v>20331.467706253912</v>
      </c>
      <c r="BB32" s="551">
        <f t="shared" si="3"/>
        <v>56773.396058753933</v>
      </c>
      <c r="BC32" s="552">
        <f t="shared" si="4"/>
        <v>0.80682851464368199</v>
      </c>
      <c r="BD32" s="551">
        <f t="shared" si="5"/>
        <v>13592.728871556266</v>
      </c>
      <c r="BE32" s="553">
        <f t="shared" si="6"/>
        <v>0.19317148535631812</v>
      </c>
      <c r="BF32" s="612">
        <v>2025</v>
      </c>
      <c r="BG32" s="613">
        <f t="shared" si="23"/>
        <v>7.5982000000000008E-2</v>
      </c>
      <c r="BU32" s="623"/>
      <c r="BV32" s="623"/>
      <c r="BW32" s="624"/>
      <c r="BX32" s="623"/>
      <c r="BY32" s="623"/>
      <c r="BZ32" s="623"/>
      <c r="CA32" s="625"/>
      <c r="CM32" s="620"/>
    </row>
    <row r="33" spans="2:91" ht="12.75" customHeight="1">
      <c r="B33" s="590">
        <f t="shared" si="21"/>
        <v>2027</v>
      </c>
      <c r="C33" s="472"/>
      <c r="D33" s="591">
        <f t="shared" si="22"/>
        <v>56773.396058753933</v>
      </c>
      <c r="E33" s="592"/>
      <c r="F33" s="593">
        <v>0</v>
      </c>
      <c r="G33" s="592"/>
      <c r="H33" s="628">
        <f t="shared" ref="H33:H52" si="30">H105*0.94</f>
        <v>388.71331199999992</v>
      </c>
      <c r="I33" s="595"/>
      <c r="J33" s="591">
        <f t="shared" si="8"/>
        <v>1286.1474608419635</v>
      </c>
      <c r="K33" s="904"/>
      <c r="L33" s="596">
        <f t="shared" si="9"/>
        <v>58448.2568315959</v>
      </c>
      <c r="M33" s="629"/>
      <c r="N33" s="630"/>
      <c r="O33" s="596">
        <f t="shared" si="10"/>
        <v>898.58198259530764</v>
      </c>
      <c r="P33" s="601"/>
      <c r="Q33" s="596">
        <f t="shared" si="11"/>
        <v>17302.589872558139</v>
      </c>
      <c r="R33" s="598"/>
      <c r="S33" s="596">
        <f t="shared" si="12"/>
        <v>75750.846704154043</v>
      </c>
      <c r="T33" s="599"/>
      <c r="U33" s="600">
        <f>((AQ32+(H33/2))*X102-AU33-AV33)*(1-'All Rev &amp; Projects'!$B$16)</f>
        <v>5909.1244563803011</v>
      </c>
      <c r="V33" s="601"/>
      <c r="W33" s="602">
        <f>(((AQ32+(H33/2))*$O$62)-AX33-AU33-AV33)*(1-'All Rev &amp; Projects'!$B$16)</f>
        <v>4568.9246916381207</v>
      </c>
      <c r="X33" s="476"/>
      <c r="Y33" s="603">
        <f t="shared" si="28"/>
        <v>2192</v>
      </c>
      <c r="Z33" s="604"/>
      <c r="AA33" s="605">
        <f>IF(((D33+H33)*'Extended Forecast'!Y102)&gt;AE32+W33-Y33,AE32+W33-Y33,((D33+H33)*'Extended Forecast'!Y102))</f>
        <v>1286.1474608419635</v>
      </c>
      <c r="AB33" s="606"/>
      <c r="AC33" s="593">
        <f t="shared" si="13"/>
        <v>22.280999999999999</v>
      </c>
      <c r="AD33" s="607"/>
      <c r="AE33" s="593">
        <f t="shared" si="27"/>
        <v>14683.506102352425</v>
      </c>
      <c r="AF33" s="626"/>
      <c r="AG33" s="607"/>
      <c r="AH33" s="593">
        <f t="shared" si="14"/>
        <v>419.33678214686734</v>
      </c>
      <c r="AI33" s="607"/>
      <c r="AJ33" s="593">
        <f t="shared" si="24"/>
        <v>4346.7965984379498</v>
      </c>
      <c r="AK33" s="607"/>
      <c r="AL33" s="594">
        <f t="shared" si="15"/>
        <v>1510.1140129430246</v>
      </c>
      <c r="AM33" s="594">
        <f t="shared" si="16"/>
        <v>19029.302700790373</v>
      </c>
      <c r="AN33" s="598"/>
      <c r="AO33" s="609">
        <f t="shared" si="0"/>
        <v>2027</v>
      </c>
      <c r="AP33" s="598"/>
      <c r="AQ33" s="610">
        <f t="shared" si="25"/>
        <v>94780.149404944415</v>
      </c>
      <c r="AR33" s="611"/>
      <c r="AS33" s="631">
        <f>B33</f>
        <v>2027</v>
      </c>
      <c r="AT33" s="632"/>
      <c r="AU33" s="574">
        <f t="shared" si="29"/>
        <v>173.41914622149531</v>
      </c>
      <c r="AV33" s="520">
        <f t="shared" si="18"/>
        <v>7.15</v>
      </c>
      <c r="AW33" s="521">
        <f t="shared" si="18"/>
        <v>424.4</v>
      </c>
      <c r="AX33" s="521">
        <f t="shared" si="26"/>
        <v>22.280999999999999</v>
      </c>
      <c r="AY33" s="564">
        <f t="shared" si="19"/>
        <v>0</v>
      </c>
      <c r="AZ33" s="585">
        <f t="shared" si="1"/>
        <v>1317.9187647421804</v>
      </c>
      <c r="BA33" s="550">
        <f t="shared" si="20"/>
        <v>21649.386470996091</v>
      </c>
      <c r="BB33" s="551">
        <f t="shared" si="3"/>
        <v>58448.2568315959</v>
      </c>
      <c r="BC33" s="552">
        <f t="shared" si="4"/>
        <v>0.79921848574039733</v>
      </c>
      <c r="BD33" s="551">
        <f t="shared" si="5"/>
        <v>14683.506102352425</v>
      </c>
      <c r="BE33" s="553">
        <f t="shared" si="6"/>
        <v>0.20078151425960264</v>
      </c>
      <c r="BF33" s="612">
        <v>2026</v>
      </c>
      <c r="BG33" s="613">
        <f t="shared" si="23"/>
        <v>7.5982000000000008E-2</v>
      </c>
      <c r="BU33" s="623"/>
      <c r="BV33" s="623"/>
      <c r="BW33" s="624"/>
      <c r="BX33" s="623"/>
      <c r="BY33" s="623"/>
      <c r="BZ33" s="623"/>
      <c r="CA33" s="623"/>
      <c r="CM33" s="620"/>
    </row>
    <row r="34" spans="2:91" ht="12.75" customHeight="1">
      <c r="B34" s="590">
        <f t="shared" si="21"/>
        <v>2028</v>
      </c>
      <c r="C34" s="472"/>
      <c r="D34" s="591">
        <f t="shared" si="22"/>
        <v>58448.2568315959</v>
      </c>
      <c r="E34" s="592"/>
      <c r="F34" s="593">
        <v>0</v>
      </c>
      <c r="G34" s="592"/>
      <c r="H34" s="628">
        <f t="shared" si="30"/>
        <v>365.39051327999988</v>
      </c>
      <c r="I34" s="595"/>
      <c r="J34" s="591">
        <f t="shared" si="8"/>
        <v>1323.3070652597078</v>
      </c>
      <c r="K34" s="904"/>
      <c r="L34" s="596">
        <f t="shared" si="9"/>
        <v>60136.954410135608</v>
      </c>
      <c r="M34" s="632"/>
      <c r="N34" s="630"/>
      <c r="O34" s="596">
        <f t="shared" si="10"/>
        <v>922.71975961199496</v>
      </c>
      <c r="P34" s="601"/>
      <c r="Q34" s="596">
        <f t="shared" si="11"/>
        <v>18225.309632170134</v>
      </c>
      <c r="R34" s="598"/>
      <c r="S34" s="596">
        <f t="shared" si="12"/>
        <v>78362.264042305746</v>
      </c>
      <c r="T34" s="599"/>
      <c r="U34" s="600">
        <f>((AQ33+(H34/2))*X103-AU34-AV34)*(1-'All Rev &amp; Projects'!$B$16)</f>
        <v>6176.7388717180165</v>
      </c>
      <c r="V34" s="601"/>
      <c r="W34" s="602">
        <f>(((AQ33+(H34/2))*$O$62)-AX34-AU34-AV34)*(1-'All Rev &amp; Projects'!$B$16)</f>
        <v>4777.4966241250422</v>
      </c>
      <c r="X34" s="476"/>
      <c r="Y34" s="603">
        <f t="shared" si="28"/>
        <v>2296</v>
      </c>
      <c r="Z34" s="604"/>
      <c r="AA34" s="605">
        <f>IF(((D34+H34)*'Extended Forecast'!Y103)&gt;AE33+W34-Y34,AE33+W34-Y34,((D34+H34)*'Extended Forecast'!Y103))</f>
        <v>1323.3070652597078</v>
      </c>
      <c r="AB34" s="606"/>
      <c r="AC34" s="593">
        <f t="shared" si="13"/>
        <v>22.280999999999999</v>
      </c>
      <c r="AD34" s="607"/>
      <c r="AE34" s="593">
        <f t="shared" si="27"/>
        <v>15841.695661217762</v>
      </c>
      <c r="AF34" s="608"/>
      <c r="AG34" s="607"/>
      <c r="AH34" s="593">
        <f t="shared" si="14"/>
        <v>454.24148798098031</v>
      </c>
      <c r="AI34" s="607"/>
      <c r="AJ34" s="593">
        <f t="shared" si="24"/>
        <v>4801.0380864189301</v>
      </c>
      <c r="AK34" s="607"/>
      <c r="AL34" s="594">
        <f t="shared" si="15"/>
        <v>1612.4310468463148</v>
      </c>
      <c r="AM34" s="594">
        <f t="shared" si="16"/>
        <v>20641.733747636688</v>
      </c>
      <c r="AN34" s="632"/>
      <c r="AO34" s="609">
        <f t="shared" si="0"/>
        <v>2028</v>
      </c>
      <c r="AP34" s="598"/>
      <c r="AQ34" s="610">
        <f t="shared" si="25"/>
        <v>99003.997789942427</v>
      </c>
      <c r="AR34" s="611"/>
      <c r="AS34" s="633" t="s">
        <v>596</v>
      </c>
      <c r="AT34" s="563"/>
      <c r="AU34" s="574">
        <f t="shared" si="29"/>
        <v>178.62172060814018</v>
      </c>
      <c r="AV34" s="520">
        <f t="shared" si="18"/>
        <v>7.15</v>
      </c>
      <c r="AW34" s="521">
        <f t="shared" si="18"/>
        <v>424.4</v>
      </c>
      <c r="AX34" s="521">
        <f t="shared" si="26"/>
        <v>22.280999999999999</v>
      </c>
      <c r="AY34" s="564">
        <f t="shared" si="19"/>
        <v>0</v>
      </c>
      <c r="AZ34" s="585">
        <f t="shared" si="1"/>
        <v>1376.9612475929744</v>
      </c>
      <c r="BA34" s="550">
        <f t="shared" si="20"/>
        <v>23026.347718589066</v>
      </c>
      <c r="BB34" s="551">
        <f t="shared" si="3"/>
        <v>60136.954410135608</v>
      </c>
      <c r="BC34" s="552">
        <f t="shared" si="4"/>
        <v>0.79149806364892705</v>
      </c>
      <c r="BD34" s="551">
        <f t="shared" si="5"/>
        <v>15841.695661217762</v>
      </c>
      <c r="BE34" s="553">
        <f t="shared" si="6"/>
        <v>0.20850193635107289</v>
      </c>
      <c r="BF34" s="612">
        <v>2027</v>
      </c>
      <c r="BG34" s="613">
        <f t="shared" si="23"/>
        <v>7.5982000000000008E-2</v>
      </c>
      <c r="BU34" s="623"/>
      <c r="BV34" s="623"/>
      <c r="BW34" s="624"/>
      <c r="BX34" s="623"/>
      <c r="BY34" s="623"/>
      <c r="BZ34" s="623"/>
      <c r="CA34" s="623"/>
    </row>
    <row r="35" spans="2:91" ht="12.75" customHeight="1">
      <c r="B35" s="590">
        <f t="shared" si="21"/>
        <v>2029</v>
      </c>
      <c r="C35" s="472"/>
      <c r="D35" s="591">
        <f t="shared" si="22"/>
        <v>60136.954410135608</v>
      </c>
      <c r="E35" s="592"/>
      <c r="F35" s="593">
        <v>0</v>
      </c>
      <c r="G35" s="592"/>
      <c r="H35" s="628">
        <f t="shared" si="30"/>
        <v>343.46708248319987</v>
      </c>
      <c r="I35" s="595"/>
      <c r="J35" s="591">
        <f t="shared" si="8"/>
        <v>1360.8094835839231</v>
      </c>
      <c r="K35" s="904"/>
      <c r="L35" s="596">
        <f t="shared" si="9"/>
        <v>61841.230976202729</v>
      </c>
      <c r="M35" s="629"/>
      <c r="N35" s="630"/>
      <c r="O35" s="596">
        <f t="shared" si="10"/>
        <v>946.43744098690513</v>
      </c>
      <c r="P35" s="601"/>
      <c r="Q35" s="596">
        <f t="shared" si="11"/>
        <v>19171.747073157039</v>
      </c>
      <c r="R35" s="598"/>
      <c r="S35" s="596">
        <f t="shared" si="12"/>
        <v>81012.978049359765</v>
      </c>
      <c r="T35" s="599"/>
      <c r="U35" s="600">
        <f>((AQ34+(H35/2))*X104-AU35-AV35)*(1-'All Rev &amp; Projects'!$B$16)</f>
        <v>6453.6436269629467</v>
      </c>
      <c r="V35" s="601"/>
      <c r="W35" s="602">
        <f>(((AQ34+(H35/2))*$O$62)-AX35-AU35-AV35)*(1-'All Rev &amp; Projects'!$B$16)</f>
        <v>4993.3145226607776</v>
      </c>
      <c r="X35" s="476"/>
      <c r="Y35" s="603">
        <f t="shared" si="28"/>
        <v>2402</v>
      </c>
      <c r="Z35" s="604"/>
      <c r="AA35" s="605">
        <f>IF(((D35+H35)*'Extended Forecast'!Y104)&gt;AE34+W35-Y35,AE34+W35-Y35,((D35+H35)*'Extended Forecast'!Y104))</f>
        <v>1360.8094835839231</v>
      </c>
      <c r="AB35" s="606"/>
      <c r="AC35" s="593">
        <f t="shared" si="13"/>
        <v>22.280999999999999</v>
      </c>
      <c r="AD35" s="607"/>
      <c r="AE35" s="593">
        <f t="shared" si="27"/>
        <v>17072.200700294619</v>
      </c>
      <c r="AF35" s="626"/>
      <c r="AG35" s="607"/>
      <c r="AH35" s="593">
        <f t="shared" si="14"/>
        <v>491.6106633152649</v>
      </c>
      <c r="AI35" s="607"/>
      <c r="AJ35" s="593">
        <f t="shared" si="24"/>
        <v>5292.648749734195</v>
      </c>
      <c r="AK35" s="607"/>
      <c r="AL35" s="594">
        <f t="shared" si="15"/>
        <v>1722.1157023921194</v>
      </c>
      <c r="AM35" s="594">
        <f t="shared" si="16"/>
        <v>22363.849450028807</v>
      </c>
      <c r="AN35" s="598"/>
      <c r="AO35" s="609">
        <f t="shared" si="0"/>
        <v>2029</v>
      </c>
      <c r="AP35" s="598"/>
      <c r="AQ35" s="610">
        <f t="shared" si="25"/>
        <v>103376.82749938857</v>
      </c>
      <c r="AR35" s="611"/>
      <c r="AS35" s="631">
        <f>$B$35</f>
        <v>2029</v>
      </c>
      <c r="AT35" s="563"/>
      <c r="AU35" s="574">
        <f t="shared" si="29"/>
        <v>183.98037222638439</v>
      </c>
      <c r="AV35" s="520">
        <f t="shared" si="18"/>
        <v>7.15</v>
      </c>
      <c r="AW35" s="521">
        <f t="shared" si="18"/>
        <v>424.4</v>
      </c>
      <c r="AX35" s="521">
        <f t="shared" si="26"/>
        <v>22.280999999999999</v>
      </c>
      <c r="AY35" s="564">
        <f t="shared" si="19"/>
        <v>0</v>
      </c>
      <c r="AZ35" s="585">
        <f t="shared" si="1"/>
        <v>1438.0481043021691</v>
      </c>
      <c r="BA35" s="550">
        <f t="shared" si="20"/>
        <v>24464.395822891234</v>
      </c>
      <c r="BB35" s="551">
        <f t="shared" si="3"/>
        <v>61841.230976202729</v>
      </c>
      <c r="BC35" s="552">
        <f t="shared" si="4"/>
        <v>0.78365912700031259</v>
      </c>
      <c r="BD35" s="551">
        <f t="shared" si="5"/>
        <v>17072.200700294619</v>
      </c>
      <c r="BE35" s="553">
        <f t="shared" si="6"/>
        <v>0.21634087299968738</v>
      </c>
      <c r="BF35" s="612">
        <v>2028</v>
      </c>
      <c r="BG35" s="613">
        <f t="shared" si="23"/>
        <v>7.5982000000000008E-2</v>
      </c>
      <c r="BU35" s="623"/>
      <c r="BV35" s="623"/>
      <c r="BW35" s="624"/>
      <c r="BX35" s="623"/>
      <c r="BY35" s="623"/>
      <c r="BZ35" s="623"/>
      <c r="CA35" s="623"/>
    </row>
    <row r="36" spans="2:91" ht="12.75" customHeight="1">
      <c r="B36" s="590">
        <f t="shared" si="21"/>
        <v>2030</v>
      </c>
      <c r="C36" s="472"/>
      <c r="D36" s="591">
        <f t="shared" si="22"/>
        <v>61841.230976202729</v>
      </c>
      <c r="E36" s="592"/>
      <c r="F36" s="593">
        <v>0</v>
      </c>
      <c r="G36" s="592"/>
      <c r="H36" s="628">
        <f t="shared" si="30"/>
        <v>322.85905753420786</v>
      </c>
      <c r="I36" s="595"/>
      <c r="J36" s="591">
        <f t="shared" si="8"/>
        <v>1398.6920257590812</v>
      </c>
      <c r="K36" s="904"/>
      <c r="L36" s="596">
        <f t="shared" si="9"/>
        <v>63562.782059496021</v>
      </c>
      <c r="M36" s="629"/>
      <c r="N36" s="630"/>
      <c r="O36" s="596">
        <f t="shared" si="10"/>
        <v>970.18162390572252</v>
      </c>
      <c r="P36" s="601"/>
      <c r="Q36" s="596">
        <f t="shared" si="11"/>
        <v>20141.928697062762</v>
      </c>
      <c r="R36" s="598"/>
      <c r="S36" s="596">
        <f t="shared" si="12"/>
        <v>83704.710756558779</v>
      </c>
      <c r="T36" s="599"/>
      <c r="U36" s="600">
        <f>((AQ35+(H36/2))*X105-AU36-AV36)*(1-'All Rev &amp; Projects'!$B$16)</f>
        <v>6740.4134374932546</v>
      </c>
      <c r="V36" s="601"/>
      <c r="W36" s="602">
        <f>(((AQ35+(H36/2))*$O$62)-AX36-AU36-AV36)*(1-'All Rev &amp; Projects'!$B$16)</f>
        <v>5216.8277105849975</v>
      </c>
      <c r="X36" s="476"/>
      <c r="Y36" s="603">
        <f t="shared" si="28"/>
        <v>2512</v>
      </c>
      <c r="Z36" s="604"/>
      <c r="AA36" s="605">
        <f>IF(((D36+H36)*'Extended Forecast'!Y105)&gt;AE35+W36-Y36,AE35+W36-Y36,((D36+H36)*'Extended Forecast'!Y105))</f>
        <v>1398.6920257590812</v>
      </c>
      <c r="AB36" s="606"/>
      <c r="AC36" s="593">
        <f t="shared" si="13"/>
        <v>22.280999999999999</v>
      </c>
      <c r="AD36" s="607"/>
      <c r="AE36" s="593">
        <f t="shared" si="27"/>
        <v>18378.336385120536</v>
      </c>
      <c r="AF36" s="608"/>
      <c r="AG36" s="607"/>
      <c r="AH36" s="593">
        <f t="shared" si="14"/>
        <v>531.12310300253375</v>
      </c>
      <c r="AI36" s="607"/>
      <c r="AJ36" s="593">
        <f t="shared" si="24"/>
        <v>5823.7718527367288</v>
      </c>
      <c r="AK36" s="607"/>
      <c r="AL36" s="594">
        <f t="shared" si="15"/>
        <v>1837.2587878284501</v>
      </c>
      <c r="AM36" s="594">
        <f t="shared" si="16"/>
        <v>24201.108237857257</v>
      </c>
      <c r="AN36" s="598"/>
      <c r="AO36" s="609">
        <f t="shared" si="0"/>
        <v>2030</v>
      </c>
      <c r="AP36" s="598"/>
      <c r="AQ36" s="610">
        <f t="shared" si="25"/>
        <v>107905.81899441604</v>
      </c>
      <c r="AR36" s="611"/>
      <c r="AS36" s="634"/>
      <c r="AT36" s="563"/>
      <c r="AU36" s="574">
        <f t="shared" si="29"/>
        <v>189.49978339317593</v>
      </c>
      <c r="AV36" s="520">
        <f t="shared" si="18"/>
        <v>7.15</v>
      </c>
      <c r="AW36" s="521">
        <f t="shared" si="18"/>
        <v>424.4</v>
      </c>
      <c r="AX36" s="521">
        <f t="shared" si="26"/>
        <v>22.280999999999999</v>
      </c>
      <c r="AY36" s="564">
        <f t="shared" si="19"/>
        <v>0</v>
      </c>
      <c r="AZ36" s="585">
        <f t="shared" si="1"/>
        <v>1501.3047269082572</v>
      </c>
      <c r="BA36" s="550">
        <f t="shared" si="20"/>
        <v>25965.700549799491</v>
      </c>
      <c r="BB36" s="551">
        <f t="shared" si="3"/>
        <v>63562.782059496021</v>
      </c>
      <c r="BC36" s="552">
        <f t="shared" si="4"/>
        <v>0.77571289318509451</v>
      </c>
      <c r="BD36" s="551">
        <f t="shared" si="5"/>
        <v>18378.336385120536</v>
      </c>
      <c r="BE36" s="553">
        <f t="shared" si="6"/>
        <v>0.22428710681490549</v>
      </c>
      <c r="BF36" s="612">
        <v>2029</v>
      </c>
      <c r="BG36" s="613">
        <f t="shared" si="23"/>
        <v>7.5982000000000008E-2</v>
      </c>
      <c r="BU36" s="623"/>
      <c r="BV36" s="623"/>
      <c r="BW36" s="624"/>
      <c r="BX36" s="623"/>
      <c r="BY36" s="623"/>
      <c r="BZ36" s="623"/>
      <c r="CA36" s="623"/>
    </row>
    <row r="37" spans="2:91" ht="12.75" customHeight="1">
      <c r="B37" s="590">
        <f t="shared" si="21"/>
        <v>2031</v>
      </c>
      <c r="C37" s="472"/>
      <c r="D37" s="591">
        <f t="shared" si="22"/>
        <v>63562.782059496021</v>
      </c>
      <c r="E37" s="592"/>
      <c r="F37" s="593">
        <v>0</v>
      </c>
      <c r="G37" s="592"/>
      <c r="H37" s="628">
        <f t="shared" si="30"/>
        <v>303.48751408215537</v>
      </c>
      <c r="I37" s="595"/>
      <c r="J37" s="591">
        <f t="shared" si="8"/>
        <v>1436.9910654055088</v>
      </c>
      <c r="K37" s="904"/>
      <c r="L37" s="596">
        <f t="shared" si="9"/>
        <v>65303.26063898368</v>
      </c>
      <c r="M37" s="629"/>
      <c r="N37" s="630"/>
      <c r="O37" s="596">
        <f t="shared" si="10"/>
        <v>993.92967855115421</v>
      </c>
      <c r="P37" s="601"/>
      <c r="Q37" s="596">
        <f t="shared" si="11"/>
        <v>21135.858375613916</v>
      </c>
      <c r="R37" s="598"/>
      <c r="S37" s="596">
        <f t="shared" si="12"/>
        <v>86439.1190145976</v>
      </c>
      <c r="T37" s="599"/>
      <c r="U37" s="600">
        <f>((AQ36+(H37/2))*X106-AU37-AV37)*(1-'All Rev &amp; Projects'!$B$16)</f>
        <v>7037.5219274526571</v>
      </c>
      <c r="V37" s="601"/>
      <c r="W37" s="602">
        <f>(((AQ36+(H37/2))*$O$62)-AX37-AU37-AV37)*(1-'All Rev &amp; Projects'!$B$16)</f>
        <v>5448.4062675565283</v>
      </c>
      <c r="X37" s="476"/>
      <c r="Y37" s="603">
        <f t="shared" si="28"/>
        <v>2626</v>
      </c>
      <c r="Z37" s="604"/>
      <c r="AA37" s="605">
        <f>IF(((D37+H37)*'Extended Forecast'!Y106)&gt;AE36+W37-Y37,AE36+W37-Y37,((D37+H37)*'Extended Forecast'!Y106))</f>
        <v>1436.9910654055088</v>
      </c>
      <c r="AB37" s="606"/>
      <c r="AC37" s="593">
        <f t="shared" si="13"/>
        <v>22.280999999999999</v>
      </c>
      <c r="AD37" s="607"/>
      <c r="AE37" s="593">
        <f t="shared" si="27"/>
        <v>19763.751587271556</v>
      </c>
      <c r="AF37" s="608"/>
      <c r="AG37" s="607"/>
      <c r="AH37" s="593">
        <f t="shared" si="14"/>
        <v>572.90498134497375</v>
      </c>
      <c r="AI37" s="607"/>
      <c r="AJ37" s="593">
        <f t="shared" si="24"/>
        <v>6396.6768340817025</v>
      </c>
      <c r="AK37" s="607"/>
      <c r="AL37" s="594">
        <f t="shared" si="15"/>
        <v>1958.3201834959932</v>
      </c>
      <c r="AM37" s="594">
        <f t="shared" si="16"/>
        <v>26159.428421353252</v>
      </c>
      <c r="AN37" s="598"/>
      <c r="AO37" s="609">
        <f t="shared" si="0"/>
        <v>2031</v>
      </c>
      <c r="AP37" s="598"/>
      <c r="AQ37" s="610">
        <f t="shared" si="25"/>
        <v>112598.54743595085</v>
      </c>
      <c r="AR37" s="611"/>
      <c r="AS37" s="634"/>
      <c r="AT37" s="635"/>
      <c r="AU37" s="574">
        <f t="shared" si="29"/>
        <v>195.18477689497121</v>
      </c>
      <c r="AV37" s="520">
        <f t="shared" ref="AV37:AW52" si="31">AV36</f>
        <v>7.15</v>
      </c>
      <c r="AW37" s="521">
        <f t="shared" si="31"/>
        <v>424.4</v>
      </c>
      <c r="AX37" s="521">
        <f t="shared" si="26"/>
        <v>22.280999999999999</v>
      </c>
      <c r="AY37" s="564">
        <f t="shared" si="19"/>
        <v>0</v>
      </c>
      <c r="AZ37" s="585">
        <f t="shared" si="1"/>
        <v>1566.8346598961289</v>
      </c>
      <c r="BA37" s="550">
        <f t="shared" si="20"/>
        <v>27532.535209695619</v>
      </c>
      <c r="BB37" s="551">
        <f t="shared" si="3"/>
        <v>65303.26063898368</v>
      </c>
      <c r="BC37" s="552">
        <f t="shared" si="4"/>
        <v>0.76766844079694108</v>
      </c>
      <c r="BD37" s="551">
        <f t="shared" si="5"/>
        <v>19763.751587271556</v>
      </c>
      <c r="BE37" s="553">
        <f t="shared" si="6"/>
        <v>0.23233155920305892</v>
      </c>
      <c r="BF37" s="612">
        <v>2030</v>
      </c>
      <c r="BG37" s="613">
        <f t="shared" si="23"/>
        <v>7.5982000000000008E-2</v>
      </c>
      <c r="BU37" s="623"/>
      <c r="BV37" s="623"/>
      <c r="BW37" s="623"/>
      <c r="BX37" s="623"/>
      <c r="BY37" s="623"/>
      <c r="BZ37" s="623"/>
      <c r="CA37" s="623"/>
    </row>
    <row r="38" spans="2:91" ht="12.75" customHeight="1">
      <c r="B38" s="590">
        <f t="shared" si="21"/>
        <v>2032</v>
      </c>
      <c r="C38" s="472"/>
      <c r="D38" s="591">
        <f t="shared" si="22"/>
        <v>65303.26063898368</v>
      </c>
      <c r="E38" s="592"/>
      <c r="F38" s="593">
        <v>0</v>
      </c>
      <c r="G38" s="592"/>
      <c r="H38" s="628">
        <f t="shared" si="30"/>
        <v>285.27826323722604</v>
      </c>
      <c r="I38" s="595"/>
      <c r="J38" s="591">
        <f t="shared" si="8"/>
        <v>1475.7421252999704</v>
      </c>
      <c r="K38" s="904"/>
      <c r="L38" s="596">
        <f t="shared" si="9"/>
        <v>67064.28102752089</v>
      </c>
      <c r="M38" s="629"/>
      <c r="N38" s="630"/>
      <c r="O38" s="596">
        <f t="shared" si="10"/>
        <v>1017.4041403001065</v>
      </c>
      <c r="P38" s="601"/>
      <c r="Q38" s="596">
        <f t="shared" si="11"/>
        <v>22153.262515914023</v>
      </c>
      <c r="R38" s="598"/>
      <c r="S38" s="596">
        <f t="shared" si="12"/>
        <v>89217.543543434906</v>
      </c>
      <c r="T38" s="599"/>
      <c r="U38" s="600">
        <f>((AQ37+(H38/2))*X107-AU38-AV38)*(1-'All Rev &amp; Projects'!$B$16)</f>
        <v>7345.4691798253352</v>
      </c>
      <c r="V38" s="601"/>
      <c r="W38" s="602">
        <f>(((AQ37+(H38/2))*$O$62)-AX38-AU38-AV38)*(1-'All Rev &amp; Projects'!$B$16)</f>
        <v>5688.4409745955772</v>
      </c>
      <c r="X38" s="476"/>
      <c r="Y38" s="603">
        <f t="shared" si="28"/>
        <v>2743</v>
      </c>
      <c r="Z38" s="604"/>
      <c r="AA38" s="605">
        <f>IF(((D38+H38)*'Extended Forecast'!Y107)&gt;AE37+W38-Y38,AE37+W38-Y38,((D38+H38)*'Extended Forecast'!Y107))</f>
        <v>1475.7421252999704</v>
      </c>
      <c r="AB38" s="606"/>
      <c r="AC38" s="593">
        <f t="shared" si="13"/>
        <v>22.280999999999999</v>
      </c>
      <c r="AD38" s="607"/>
      <c r="AE38" s="593">
        <f t="shared" si="27"/>
        <v>21233.450436567164</v>
      </c>
      <c r="AF38" s="608"/>
      <c r="AG38" s="607"/>
      <c r="AH38" s="593">
        <f t="shared" si="14"/>
        <v>617.34306492965698</v>
      </c>
      <c r="AI38" s="607"/>
      <c r="AJ38" s="593">
        <f t="shared" si="24"/>
        <v>7014.0198990113595</v>
      </c>
      <c r="AK38" s="607"/>
      <c r="AL38" s="594">
        <f t="shared" si="15"/>
        <v>2087.041914225264</v>
      </c>
      <c r="AM38" s="594">
        <f t="shared" si="16"/>
        <v>28246.470335578517</v>
      </c>
      <c r="AN38" s="598"/>
      <c r="AO38" s="609">
        <f t="shared" si="0"/>
        <v>2032</v>
      </c>
      <c r="AP38" s="598"/>
      <c r="AQ38" s="610">
        <f t="shared" si="25"/>
        <v>117464.01387901342</v>
      </c>
      <c r="AR38" s="611"/>
      <c r="AS38" s="563"/>
      <c r="AT38" s="635"/>
      <c r="AU38" s="574">
        <f t="shared" si="29"/>
        <v>201.04032020182035</v>
      </c>
      <c r="AV38" s="520">
        <f t="shared" si="31"/>
        <v>7.15</v>
      </c>
      <c r="AW38" s="521">
        <f t="shared" si="31"/>
        <v>424.4</v>
      </c>
      <c r="AX38" s="521">
        <f t="shared" si="26"/>
        <v>22.280999999999999</v>
      </c>
      <c r="AY38" s="564">
        <f t="shared" si="19"/>
        <v>0</v>
      </c>
      <c r="AZ38" s="585">
        <f t="shared" si="1"/>
        <v>1634.747205229758</v>
      </c>
      <c r="BA38" s="550">
        <f t="shared" si="20"/>
        <v>29167.282414925379</v>
      </c>
      <c r="BB38" s="551">
        <f t="shared" si="3"/>
        <v>67064.28102752089</v>
      </c>
      <c r="BC38" s="552">
        <f t="shared" si="4"/>
        <v>0.75952439451739362</v>
      </c>
      <c r="BD38" s="551">
        <f t="shared" si="5"/>
        <v>21233.450436567164</v>
      </c>
      <c r="BE38" s="553">
        <f t="shared" si="6"/>
        <v>0.24047560548260644</v>
      </c>
      <c r="BF38" s="612">
        <v>2031</v>
      </c>
      <c r="BG38" s="613">
        <f t="shared" si="23"/>
        <v>7.5982000000000008E-2</v>
      </c>
      <c r="BU38" s="623"/>
      <c r="BV38" s="623"/>
      <c r="BW38" s="623"/>
      <c r="BX38" s="623"/>
      <c r="BY38" s="623"/>
      <c r="BZ38" s="623"/>
      <c r="CA38" s="623"/>
    </row>
    <row r="39" spans="2:91" ht="12.75" customHeight="1">
      <c r="B39" s="590">
        <f t="shared" si="21"/>
        <v>2033</v>
      </c>
      <c r="C39" s="472"/>
      <c r="D39" s="591">
        <f t="shared" si="22"/>
        <v>67064.28102752089</v>
      </c>
      <c r="E39" s="592"/>
      <c r="F39" s="593">
        <v>0</v>
      </c>
      <c r="G39" s="592"/>
      <c r="H39" s="628">
        <f t="shared" si="30"/>
        <v>268.16156744299246</v>
      </c>
      <c r="I39" s="595"/>
      <c r="J39" s="591">
        <f t="shared" si="8"/>
        <v>1514.9799583866873</v>
      </c>
      <c r="K39" s="904"/>
      <c r="L39" s="596">
        <f t="shared" si="9"/>
        <v>68847.422553350567</v>
      </c>
      <c r="M39" s="629"/>
      <c r="N39" s="630"/>
      <c r="O39" s="596">
        <f t="shared" si="10"/>
        <v>1041.0695594675599</v>
      </c>
      <c r="P39" s="601"/>
      <c r="Q39" s="596">
        <f t="shared" si="11"/>
        <v>23194.332075381582</v>
      </c>
      <c r="R39" s="598"/>
      <c r="S39" s="596">
        <f t="shared" si="12"/>
        <v>92041.754628732146</v>
      </c>
      <c r="T39" s="599"/>
      <c r="U39" s="600">
        <f>((AQ38+(H39/2))*X108-AU39-AV39)*(1-'All Rev &amp; Projects'!$B$16)</f>
        <v>7664.8508125953658</v>
      </c>
      <c r="V39" s="601"/>
      <c r="W39" s="602">
        <f>(((AQ38+(H39/2))*$O$62)-AX39-AU39-AV39)*(1-'All Rev &amp; Projects'!$B$16)</f>
        <v>5937.3974399857088</v>
      </c>
      <c r="X39" s="476"/>
      <c r="Y39" s="603">
        <f t="shared" si="28"/>
        <v>2865</v>
      </c>
      <c r="Z39" s="604"/>
      <c r="AA39" s="605">
        <f>IF(((D39+H39)*'Extended Forecast'!Y108)&gt;AE38+W39-Y39,AE38+W39-Y39,((D39+H39)*'Extended Forecast'!Y108))</f>
        <v>1514.9799583866873</v>
      </c>
      <c r="AB39" s="606"/>
      <c r="AC39" s="593">
        <f t="shared" si="13"/>
        <v>22.280999999999999</v>
      </c>
      <c r="AD39" s="607"/>
      <c r="AE39" s="593">
        <f t="shared" si="27"/>
        <v>22790.867918166183</v>
      </c>
      <c r="AF39" s="608"/>
      <c r="AG39" s="607"/>
      <c r="AH39" s="593">
        <f t="shared" si="14"/>
        <v>664.10281314209442</v>
      </c>
      <c r="AI39" s="607"/>
      <c r="AJ39" s="593">
        <f t="shared" si="24"/>
        <v>7678.1227121534539</v>
      </c>
      <c r="AK39" s="607"/>
      <c r="AL39" s="594">
        <f t="shared" si="15"/>
        <v>2221.5202947411162</v>
      </c>
      <c r="AM39" s="594">
        <f t="shared" si="16"/>
        <v>30467.990630319633</v>
      </c>
      <c r="AN39" s="598"/>
      <c r="AO39" s="609">
        <f t="shared" si="0"/>
        <v>2033</v>
      </c>
      <c r="AP39" s="598"/>
      <c r="AQ39" s="610">
        <f t="shared" si="25"/>
        <v>122509.74525905178</v>
      </c>
      <c r="AR39" s="611"/>
      <c r="AS39" s="563"/>
      <c r="AT39" s="635"/>
      <c r="AU39" s="574">
        <f t="shared" si="29"/>
        <v>207.07152980787495</v>
      </c>
      <c r="AV39" s="520">
        <f t="shared" si="31"/>
        <v>7.15</v>
      </c>
      <c r="AW39" s="521">
        <f t="shared" si="31"/>
        <v>424.4</v>
      </c>
      <c r="AX39" s="521">
        <f t="shared" si="26"/>
        <v>22.280999999999999</v>
      </c>
      <c r="AY39" s="564">
        <f t="shared" si="19"/>
        <v>0</v>
      </c>
      <c r="AZ39" s="585">
        <f t="shared" si="1"/>
        <v>1705.172372609657</v>
      </c>
      <c r="BA39" s="550">
        <f t="shared" si="20"/>
        <v>30872.454787535036</v>
      </c>
      <c r="BB39" s="551">
        <f t="shared" si="3"/>
        <v>68847.422553350567</v>
      </c>
      <c r="BC39" s="552">
        <f t="shared" si="4"/>
        <v>0.75129536135061248</v>
      </c>
      <c r="BD39" s="551">
        <f t="shared" si="5"/>
        <v>22790.867918166183</v>
      </c>
      <c r="BE39" s="553">
        <f t="shared" si="6"/>
        <v>0.24870463864938749</v>
      </c>
      <c r="BF39" s="612">
        <v>2032</v>
      </c>
      <c r="BG39" s="613">
        <f t="shared" si="23"/>
        <v>7.5982000000000008E-2</v>
      </c>
      <c r="BU39" s="623"/>
      <c r="BV39" s="623"/>
      <c r="BW39" s="623"/>
      <c r="BX39" s="623"/>
      <c r="BY39" s="623"/>
      <c r="BZ39" s="623"/>
      <c r="CA39" s="623"/>
    </row>
    <row r="40" spans="2:91" ht="12.75" customHeight="1">
      <c r="B40" s="590">
        <f t="shared" si="21"/>
        <v>2034</v>
      </c>
      <c r="C40" s="472"/>
      <c r="D40" s="591">
        <f t="shared" si="22"/>
        <v>68847.422553350567</v>
      </c>
      <c r="E40" s="592"/>
      <c r="F40" s="593">
        <v>0</v>
      </c>
      <c r="G40" s="592"/>
      <c r="H40" s="628">
        <f t="shared" si="30"/>
        <v>252.07187339641291</v>
      </c>
      <c r="I40" s="595"/>
      <c r="J40" s="591">
        <f t="shared" si="8"/>
        <v>1554.738624601807</v>
      </c>
      <c r="K40" s="904"/>
      <c r="L40" s="596">
        <f t="shared" si="9"/>
        <v>70654.233051348798</v>
      </c>
      <c r="M40" s="629"/>
      <c r="N40" s="630"/>
      <c r="O40" s="596">
        <f t="shared" si="10"/>
        <v>1064.6475525744536</v>
      </c>
      <c r="P40" s="601"/>
      <c r="Q40" s="596">
        <f t="shared" si="11"/>
        <v>24258.979627956036</v>
      </c>
      <c r="R40" s="598"/>
      <c r="S40" s="596">
        <f t="shared" si="12"/>
        <v>94913.212679304837</v>
      </c>
      <c r="T40" s="599"/>
      <c r="U40" s="600">
        <f>((AQ39+(H40/2))*X109-AU40-AV40)*(1-'All Rev &amp; Projects'!$B$16)</f>
        <v>7996.1636644131386</v>
      </c>
      <c r="V40" s="601"/>
      <c r="W40" s="602">
        <f>(((AQ39+(H40/2))*$O$62)-AX40-AU40-AV40)*(1-'All Rev &amp; Projects'!$B$16)</f>
        <v>6195.6638370747623</v>
      </c>
      <c r="X40" s="476"/>
      <c r="Y40" s="603">
        <f t="shared" si="28"/>
        <v>2991</v>
      </c>
      <c r="Z40" s="604"/>
      <c r="AA40" s="605">
        <f>IF(((D40+H40)*'Extended Forecast'!Y109)&gt;AE39+W40-Y40,AE39+W40-Y40,((D40+H40)*'Extended Forecast'!Y109))</f>
        <v>1554.738624601807</v>
      </c>
      <c r="AB40" s="606"/>
      <c r="AC40" s="593">
        <f t="shared" si="13"/>
        <v>22.280999999999999</v>
      </c>
      <c r="AD40" s="607"/>
      <c r="AE40" s="593">
        <f t="shared" si="27"/>
        <v>24440.79313063914</v>
      </c>
      <c r="AF40" s="608"/>
      <c r="AG40" s="607"/>
      <c r="AH40" s="593">
        <f t="shared" si="14"/>
        <v>713.5712747639227</v>
      </c>
      <c r="AI40" s="607"/>
      <c r="AJ40" s="593">
        <f t="shared" si="24"/>
        <v>8391.6939869173766</v>
      </c>
      <c r="AK40" s="607"/>
      <c r="AL40" s="594">
        <f t="shared" si="15"/>
        <v>2363.4964872368782</v>
      </c>
      <c r="AM40" s="594">
        <f t="shared" si="16"/>
        <v>32831.487117556513</v>
      </c>
      <c r="AN40" s="598"/>
      <c r="AO40" s="609">
        <f t="shared" si="0"/>
        <v>2034</v>
      </c>
      <c r="AP40" s="598"/>
      <c r="AQ40" s="610">
        <f t="shared" si="25"/>
        <v>127744.69979686136</v>
      </c>
      <c r="AR40" s="611"/>
      <c r="AS40" s="563"/>
      <c r="AT40" s="635"/>
      <c r="AU40" s="574">
        <f t="shared" si="29"/>
        <v>213.2836757021112</v>
      </c>
      <c r="AV40" s="520">
        <f t="shared" si="31"/>
        <v>7.15</v>
      </c>
      <c r="AW40" s="521">
        <f t="shared" si="31"/>
        <v>424.4</v>
      </c>
      <c r="AX40" s="521">
        <f t="shared" si="26"/>
        <v>22.280999999999999</v>
      </c>
      <c r="AY40" s="564">
        <f t="shared" si="19"/>
        <v>0</v>
      </c>
      <c r="AZ40" s="585">
        <f t="shared" si="1"/>
        <v>1778.2188273383763</v>
      </c>
      <c r="BA40" s="550">
        <f t="shared" si="20"/>
        <v>32650.673614873413</v>
      </c>
      <c r="BB40" s="551">
        <f t="shared" si="3"/>
        <v>70654.233051348798</v>
      </c>
      <c r="BC40" s="552">
        <f t="shared" si="4"/>
        <v>0.74298557861621894</v>
      </c>
      <c r="BD40" s="551">
        <f t="shared" si="5"/>
        <v>24440.79313063914</v>
      </c>
      <c r="BE40" s="553">
        <f t="shared" si="6"/>
        <v>0.25701442138378106</v>
      </c>
      <c r="BF40" s="612">
        <v>2033</v>
      </c>
      <c r="BG40" s="613">
        <f t="shared" si="23"/>
        <v>7.5982000000000008E-2</v>
      </c>
      <c r="BU40" s="623"/>
      <c r="BV40" s="623"/>
      <c r="BW40" s="623"/>
      <c r="BX40" s="623"/>
      <c r="BY40" s="623"/>
      <c r="BZ40" s="623"/>
      <c r="CA40" s="623"/>
    </row>
    <row r="41" spans="2:91" ht="12.75" customHeight="1">
      <c r="B41" s="590">
        <f t="shared" si="21"/>
        <v>2035</v>
      </c>
      <c r="C41" s="472"/>
      <c r="D41" s="591">
        <f t="shared" si="22"/>
        <v>70654.233051348798</v>
      </c>
      <c r="E41" s="592"/>
      <c r="F41" s="593">
        <v>0</v>
      </c>
      <c r="G41" s="592"/>
      <c r="H41" s="628">
        <f t="shared" si="30"/>
        <v>236.94756099262813</v>
      </c>
      <c r="I41" s="595"/>
      <c r="J41" s="591">
        <f t="shared" si="8"/>
        <v>1595.0515637776821</v>
      </c>
      <c r="K41" s="904"/>
      <c r="L41" s="596">
        <f t="shared" si="9"/>
        <v>72486.232176119112</v>
      </c>
      <c r="M41" s="629"/>
      <c r="N41" s="630"/>
      <c r="O41" s="596">
        <f t="shared" si="10"/>
        <v>1088.3573270370725</v>
      </c>
      <c r="P41" s="601"/>
      <c r="Q41" s="596">
        <f t="shared" si="11"/>
        <v>25347.336954993109</v>
      </c>
      <c r="R41" s="598"/>
      <c r="S41" s="596">
        <f t="shared" si="12"/>
        <v>97833.569131112221</v>
      </c>
      <c r="T41" s="599"/>
      <c r="U41" s="600">
        <f>((AQ40+(H41/2))*X110-AU41-AV41)*(1-'All Rev &amp; Projects'!$B$16)</f>
        <v>8340.0004437097887</v>
      </c>
      <c r="V41" s="601"/>
      <c r="W41" s="602">
        <f>(((AQ40+(H41/2))*$O$62)-AX41-AU41-AV41)*(1-'All Rev &amp; Projects'!$B$16)</f>
        <v>6463.703426838103</v>
      </c>
      <c r="X41" s="476"/>
      <c r="Y41" s="603">
        <f t="shared" si="28"/>
        <v>3122</v>
      </c>
      <c r="Z41" s="604"/>
      <c r="AA41" s="605">
        <f>IF(((D41+H41)*'Extended Forecast'!Y110)&gt;AE40+W41-Y41,AE40+W41-Y41,((D41+H41)*'Extended Forecast'!Y110))</f>
        <v>1595.0515637776821</v>
      </c>
      <c r="AB41" s="606"/>
      <c r="AC41" s="593">
        <f t="shared" si="13"/>
        <v>22.280999999999999</v>
      </c>
      <c r="AD41" s="607"/>
      <c r="AE41" s="593">
        <f t="shared" si="27"/>
        <v>26187.444993699562</v>
      </c>
      <c r="AF41" s="608"/>
      <c r="AG41" s="607"/>
      <c r="AH41" s="593">
        <f t="shared" si="14"/>
        <v>765.65868983460678</v>
      </c>
      <c r="AI41" s="607"/>
      <c r="AJ41" s="593">
        <f t="shared" si="24"/>
        <v>9157.3526767519834</v>
      </c>
      <c r="AK41" s="607"/>
      <c r="AL41" s="594">
        <f t="shared" si="15"/>
        <v>2512.3105528950277</v>
      </c>
      <c r="AM41" s="594">
        <f t="shared" si="16"/>
        <v>35343.797670451539</v>
      </c>
      <c r="AN41" s="598"/>
      <c r="AO41" s="609">
        <f t="shared" si="0"/>
        <v>2035</v>
      </c>
      <c r="AP41" s="598"/>
      <c r="AQ41" s="610">
        <f t="shared" si="25"/>
        <v>133177.36680156377</v>
      </c>
      <c r="AR41" s="611"/>
      <c r="AS41" s="563"/>
      <c r="AT41" s="635"/>
      <c r="AU41" s="574">
        <f t="shared" si="29"/>
        <v>219.68218597317454</v>
      </c>
      <c r="AV41" s="520">
        <f t="shared" si="31"/>
        <v>7.15</v>
      </c>
      <c r="AW41" s="521">
        <f t="shared" si="31"/>
        <v>424.4</v>
      </c>
      <c r="AX41" s="521">
        <f t="shared" si="26"/>
        <v>22.280999999999999</v>
      </c>
      <c r="AY41" s="564">
        <f t="shared" si="19"/>
        <v>0</v>
      </c>
      <c r="AZ41" s="585">
        <f t="shared" si="1"/>
        <v>1854.0160168716857</v>
      </c>
      <c r="BA41" s="550">
        <f t="shared" si="20"/>
        <v>34504.689631745096</v>
      </c>
      <c r="BB41" s="551">
        <f t="shared" si="3"/>
        <v>72486.232176119112</v>
      </c>
      <c r="BC41" s="552">
        <f t="shared" si="4"/>
        <v>0.73460556305578195</v>
      </c>
      <c r="BD41" s="551">
        <f t="shared" si="5"/>
        <v>26187.444993699562</v>
      </c>
      <c r="BE41" s="553">
        <f t="shared" si="6"/>
        <v>0.26539443694421794</v>
      </c>
      <c r="BF41" s="612">
        <v>2034</v>
      </c>
      <c r="BG41" s="613">
        <f t="shared" si="23"/>
        <v>7.5982000000000008E-2</v>
      </c>
      <c r="BU41" s="623"/>
      <c r="BV41" s="623"/>
      <c r="BW41" s="623"/>
      <c r="BX41" s="623"/>
      <c r="BY41" s="623"/>
      <c r="BZ41" s="623"/>
      <c r="CA41" s="623"/>
    </row>
    <row r="42" spans="2:91" ht="12.75" customHeight="1">
      <c r="B42" s="590">
        <f t="shared" si="21"/>
        <v>2036</v>
      </c>
      <c r="C42" s="472"/>
      <c r="D42" s="591">
        <f t="shared" si="22"/>
        <v>72486.232176119112</v>
      </c>
      <c r="E42" s="592"/>
      <c r="F42" s="593">
        <v>0</v>
      </c>
      <c r="G42" s="592"/>
      <c r="H42" s="628">
        <f t="shared" si="30"/>
        <v>222.73070733307043</v>
      </c>
      <c r="I42" s="595"/>
      <c r="J42" s="591">
        <f t="shared" si="8"/>
        <v>1635.9516648776741</v>
      </c>
      <c r="K42" s="904"/>
      <c r="L42" s="596">
        <f t="shared" si="9"/>
        <v>74344.914548329863</v>
      </c>
      <c r="M42" s="629"/>
      <c r="N42" s="630"/>
      <c r="O42" s="596">
        <f t="shared" si="10"/>
        <v>1112.1671241205549</v>
      </c>
      <c r="P42" s="601"/>
      <c r="Q42" s="596">
        <f t="shared" si="11"/>
        <v>26459.504079113663</v>
      </c>
      <c r="R42" s="598"/>
      <c r="S42" s="596">
        <f t="shared" si="12"/>
        <v>100804.41862744352</v>
      </c>
      <c r="T42" s="599"/>
      <c r="U42" s="600">
        <f>((AQ41+(H42/2))*X111-AU42-AV42)*(1-'All Rev &amp; Projects'!$B$16)</f>
        <v>8696.9224028480621</v>
      </c>
      <c r="V42" s="601"/>
      <c r="W42" s="602">
        <f>(((AQ41+(H42/2))*$O$62)-AX42-AU42-AV42)*(1-'All Rev &amp; Projects'!$B$16)</f>
        <v>6741.9547865972208</v>
      </c>
      <c r="X42" s="476"/>
      <c r="Y42" s="603">
        <f t="shared" si="28"/>
        <v>3258</v>
      </c>
      <c r="Z42" s="604"/>
      <c r="AA42" s="605">
        <f>IF(((D42+H42)*'Extended Forecast'!Y111)&gt;AE41+W42-Y42,AE41+W42-Y42,((D42+H42)*'Extended Forecast'!Y111))</f>
        <v>1635.9516648776741</v>
      </c>
      <c r="AB42" s="606"/>
      <c r="AC42" s="593">
        <f t="shared" si="13"/>
        <v>22.280999999999999</v>
      </c>
      <c r="AD42" s="607"/>
      <c r="AE42" s="593">
        <f t="shared" si="27"/>
        <v>28035.448115419113</v>
      </c>
      <c r="AF42" s="608"/>
      <c r="AG42" s="607"/>
      <c r="AH42" s="593">
        <f t="shared" si="14"/>
        <v>820.51949213029184</v>
      </c>
      <c r="AI42" s="607"/>
      <c r="AJ42" s="593">
        <f t="shared" si="24"/>
        <v>9977.8721688822752</v>
      </c>
      <c r="AK42" s="607"/>
      <c r="AL42" s="594">
        <f t="shared" si="15"/>
        <v>2668.5226138498383</v>
      </c>
      <c r="AM42" s="594">
        <f t="shared" si="16"/>
        <v>38012.320284301379</v>
      </c>
      <c r="AN42" s="598"/>
      <c r="AO42" s="609">
        <f t="shared" si="0"/>
        <v>2036</v>
      </c>
      <c r="AP42" s="598"/>
      <c r="AQ42" s="610">
        <f t="shared" si="25"/>
        <v>138816.73891174491</v>
      </c>
      <c r="AR42" s="611"/>
      <c r="AS42" s="563"/>
      <c r="AT42" s="635"/>
      <c r="AU42" s="574">
        <f t="shared" si="29"/>
        <v>226.27265155236978</v>
      </c>
      <c r="AV42" s="520">
        <f t="shared" si="31"/>
        <v>7.15</v>
      </c>
      <c r="AW42" s="521">
        <f t="shared" si="31"/>
        <v>424.4</v>
      </c>
      <c r="AX42" s="521">
        <f t="shared" si="26"/>
        <v>22.280999999999999</v>
      </c>
      <c r="AY42" s="564">
        <f t="shared" si="19"/>
        <v>0</v>
      </c>
      <c r="AZ42" s="585">
        <f t="shared" si="1"/>
        <v>1932.6866162508413</v>
      </c>
      <c r="BA42" s="550">
        <f t="shared" si="20"/>
        <v>36437.376247995941</v>
      </c>
      <c r="BB42" s="551">
        <f t="shared" si="3"/>
        <v>74344.914548329863</v>
      </c>
      <c r="BC42" s="552">
        <f t="shared" si="4"/>
        <v>0.72616381319631762</v>
      </c>
      <c r="BD42" s="551">
        <f t="shared" si="5"/>
        <v>28035.448115419113</v>
      </c>
      <c r="BE42" s="553">
        <f t="shared" si="6"/>
        <v>0.27383618680368238</v>
      </c>
      <c r="BF42" s="612">
        <v>2035</v>
      </c>
      <c r="BG42" s="613">
        <f t="shared" si="23"/>
        <v>7.5982000000000008E-2</v>
      </c>
      <c r="BU42" s="623"/>
      <c r="BV42" s="623"/>
      <c r="BW42" s="623"/>
      <c r="BX42" s="623"/>
      <c r="BY42" s="623"/>
      <c r="BZ42" s="623"/>
      <c r="CA42" s="623"/>
    </row>
    <row r="43" spans="2:91" ht="12.75" customHeight="1">
      <c r="B43" s="590">
        <f t="shared" si="21"/>
        <v>2037</v>
      </c>
      <c r="C43" s="472"/>
      <c r="D43" s="591">
        <f t="shared" si="22"/>
        <v>74344.914548329863</v>
      </c>
      <c r="E43" s="592"/>
      <c r="F43" s="593">
        <v>0</v>
      </c>
      <c r="G43" s="592"/>
      <c r="H43" s="628">
        <f t="shared" si="30"/>
        <v>209.36686489308619</v>
      </c>
      <c r="I43" s="595"/>
      <c r="J43" s="591">
        <f t="shared" si="8"/>
        <v>1677.4713317975163</v>
      </c>
      <c r="K43" s="904"/>
      <c r="L43" s="596">
        <f t="shared" si="9"/>
        <v>76231.752745020465</v>
      </c>
      <c r="M43" s="629"/>
      <c r="N43" s="630"/>
      <c r="O43" s="596">
        <f t="shared" si="10"/>
        <v>1136.0410498249294</v>
      </c>
      <c r="P43" s="601"/>
      <c r="Q43" s="596">
        <f t="shared" si="11"/>
        <v>27595.545128938593</v>
      </c>
      <c r="R43" s="598"/>
      <c r="S43" s="596">
        <f t="shared" si="12"/>
        <v>103827.29787395906</v>
      </c>
      <c r="T43" s="599"/>
      <c r="U43" s="600">
        <f>((AQ42+(H43/2))*X112-AU43-AV43)*(1-'All Rev &amp; Projects'!$B$16)</f>
        <v>9067.5244659618857</v>
      </c>
      <c r="V43" s="601"/>
      <c r="W43" s="602">
        <f>(((AQ42+(H43/2))*$O$62)-AX43-AU43-AV43)*(1-'All Rev &amp; Projects'!$B$16)</f>
        <v>7030.8828419711099</v>
      </c>
      <c r="X43" s="476"/>
      <c r="Y43" s="603">
        <f t="shared" si="28"/>
        <v>3399</v>
      </c>
      <c r="Z43" s="604"/>
      <c r="AA43" s="605">
        <f>IF(((D43+H43)*'Extended Forecast'!Y112)&gt;AE42+W43-Y43,AE42+W43-Y43,((D43+H43)*'Extended Forecast'!Y112))</f>
        <v>1677.4713317975163</v>
      </c>
      <c r="AB43" s="606"/>
      <c r="AC43" s="593">
        <f t="shared" si="13"/>
        <v>22.280999999999999</v>
      </c>
      <c r="AD43" s="607"/>
      <c r="AE43" s="593">
        <f t="shared" si="27"/>
        <v>29989.859625592708</v>
      </c>
      <c r="AF43" s="608"/>
      <c r="AG43" s="607"/>
      <c r="AH43" s="593">
        <f t="shared" si="14"/>
        <v>878.31957416584555</v>
      </c>
      <c r="AI43" s="607"/>
      <c r="AJ43" s="593">
        <f t="shared" si="24"/>
        <v>10856.191743048121</v>
      </c>
      <c r="AK43" s="607"/>
      <c r="AL43" s="594">
        <f t="shared" si="15"/>
        <v>2832.7310843394389</v>
      </c>
      <c r="AM43" s="594">
        <f t="shared" si="16"/>
        <v>40845.051368640816</v>
      </c>
      <c r="AN43" s="598"/>
      <c r="AO43" s="609">
        <f t="shared" si="0"/>
        <v>2037</v>
      </c>
      <c r="AP43" s="598"/>
      <c r="AQ43" s="610">
        <f t="shared" si="25"/>
        <v>144672.34924259988</v>
      </c>
      <c r="AR43" s="611"/>
      <c r="AS43" s="563"/>
      <c r="AT43" s="635"/>
      <c r="AU43" s="574">
        <f t="shared" si="29"/>
        <v>233.06083109894087</v>
      </c>
      <c r="AV43" s="520">
        <f t="shared" si="31"/>
        <v>7.15</v>
      </c>
      <c r="AW43" s="521">
        <f t="shared" si="31"/>
        <v>424.4</v>
      </c>
      <c r="AX43" s="521">
        <f t="shared" si="26"/>
        <v>22.280999999999999</v>
      </c>
      <c r="AY43" s="564">
        <f t="shared" si="19"/>
        <v>0</v>
      </c>
      <c r="AZ43" s="585">
        <f t="shared" si="1"/>
        <v>2014.3606239907758</v>
      </c>
      <c r="BA43" s="550">
        <f t="shared" si="20"/>
        <v>38451.736871986715</v>
      </c>
      <c r="BB43" s="551">
        <f t="shared" si="3"/>
        <v>76231.752745020465</v>
      </c>
      <c r="BC43" s="552">
        <f t="shared" si="4"/>
        <v>0.71766706458045082</v>
      </c>
      <c r="BD43" s="551">
        <f t="shared" si="5"/>
        <v>29989.859625592708</v>
      </c>
      <c r="BE43" s="553">
        <f t="shared" si="6"/>
        <v>0.28233293541954912</v>
      </c>
      <c r="BF43" s="612">
        <v>2036</v>
      </c>
      <c r="BG43" s="613">
        <f t="shared" si="23"/>
        <v>7.5982000000000008E-2</v>
      </c>
      <c r="BU43" s="623"/>
      <c r="BV43" s="623"/>
      <c r="BW43" s="623"/>
      <c r="BX43" s="623"/>
      <c r="BY43" s="623"/>
      <c r="BZ43" s="623"/>
      <c r="CA43" s="623"/>
    </row>
    <row r="44" spans="2:91" ht="12.75" customHeight="1">
      <c r="B44" s="590">
        <f t="shared" si="21"/>
        <v>2038</v>
      </c>
      <c r="C44" s="472"/>
      <c r="D44" s="591">
        <f t="shared" si="22"/>
        <v>76231.752745020465</v>
      </c>
      <c r="E44" s="592"/>
      <c r="F44" s="593">
        <v>0</v>
      </c>
      <c r="G44" s="592"/>
      <c r="H44" s="628">
        <f t="shared" si="30"/>
        <v>196.80485299950101</v>
      </c>
      <c r="I44" s="595"/>
      <c r="J44" s="591">
        <f t="shared" si="8"/>
        <v>1719.6425459554491</v>
      </c>
      <c r="K44" s="904"/>
      <c r="L44" s="596">
        <f t="shared" si="9"/>
        <v>78148.200143975409</v>
      </c>
      <c r="M44" s="629"/>
      <c r="N44" s="630"/>
      <c r="O44" s="596">
        <f t="shared" si="10"/>
        <v>1159.9392610317627</v>
      </c>
      <c r="P44" s="601"/>
      <c r="Q44" s="596">
        <f t="shared" si="11"/>
        <v>28755.484389970356</v>
      </c>
      <c r="R44" s="598"/>
      <c r="S44" s="596">
        <f t="shared" si="12"/>
        <v>106903.68453394576</v>
      </c>
      <c r="T44" s="599"/>
      <c r="U44" s="600">
        <f>((AQ43+(H44/2))*X113-AU44-AV44)*(1-'All Rev &amp; Projects'!$B$16)</f>
        <v>9452.437705797769</v>
      </c>
      <c r="V44" s="601"/>
      <c r="W44" s="602">
        <f>(((AQ43+(H44/2))*$O$62)-AX44-AU44-AV44)*(1-'All Rev &amp; Projects'!$B$16)</f>
        <v>7330.9808065958223</v>
      </c>
      <c r="X44" s="476"/>
      <c r="Y44" s="603">
        <f t="shared" si="28"/>
        <v>3545</v>
      </c>
      <c r="Z44" s="604"/>
      <c r="AA44" s="605">
        <f>IF(((D44+H44)*'Extended Forecast'!Y113)&gt;AE43+W44-Y44,AE43+W44-Y44,((D44+H44)*'Extended Forecast'!Y113))</f>
        <v>1719.6425459554491</v>
      </c>
      <c r="AB44" s="606"/>
      <c r="AC44" s="593">
        <f t="shared" si="13"/>
        <v>22.280999999999999</v>
      </c>
      <c r="AD44" s="607"/>
      <c r="AE44" s="593">
        <f t="shared" si="27"/>
        <v>32056.197886233083</v>
      </c>
      <c r="AF44" s="608"/>
      <c r="AG44" s="607"/>
      <c r="AH44" s="593">
        <f t="shared" si="14"/>
        <v>939.23663817018678</v>
      </c>
      <c r="AI44" s="607"/>
      <c r="AJ44" s="593">
        <f t="shared" si="24"/>
        <v>11795.428381218308</v>
      </c>
      <c r="AK44" s="607"/>
      <c r="AL44" s="594">
        <f t="shared" si="15"/>
        <v>3005.5748988105597</v>
      </c>
      <c r="AM44" s="594">
        <f t="shared" si="16"/>
        <v>43850.626267451378</v>
      </c>
      <c r="AN44" s="598"/>
      <c r="AO44" s="609">
        <f t="shared" si="0"/>
        <v>2038</v>
      </c>
      <c r="AP44" s="598"/>
      <c r="AQ44" s="610">
        <f t="shared" si="25"/>
        <v>150754.31080139714</v>
      </c>
      <c r="AR44" s="611"/>
      <c r="AS44" s="563"/>
      <c r="AT44" s="635"/>
      <c r="AU44" s="574">
        <f t="shared" si="29"/>
        <v>240.05265603190909</v>
      </c>
      <c r="AV44" s="520">
        <f t="shared" si="31"/>
        <v>7.15</v>
      </c>
      <c r="AW44" s="521">
        <f t="shared" si="31"/>
        <v>424.4</v>
      </c>
      <c r="AX44" s="521">
        <f t="shared" si="26"/>
        <v>22.280999999999999</v>
      </c>
      <c r="AY44" s="564">
        <f t="shared" si="19"/>
        <v>0</v>
      </c>
      <c r="AZ44" s="585">
        <f t="shared" si="1"/>
        <v>2099.1758992019468</v>
      </c>
      <c r="BA44" s="550">
        <f t="shared" si="20"/>
        <v>40550.912771188661</v>
      </c>
      <c r="BB44" s="551">
        <f t="shared" si="3"/>
        <v>78148.200143975409</v>
      </c>
      <c r="BC44" s="552">
        <f t="shared" si="4"/>
        <v>0.70912052096644951</v>
      </c>
      <c r="BD44" s="551">
        <f t="shared" si="5"/>
        <v>32056.197886233083</v>
      </c>
      <c r="BE44" s="553">
        <f t="shared" si="6"/>
        <v>0.29087947903355049</v>
      </c>
      <c r="BF44" s="612">
        <v>2037</v>
      </c>
      <c r="BG44" s="613">
        <f t="shared" si="23"/>
        <v>7.5982000000000008E-2</v>
      </c>
      <c r="BU44" s="623"/>
      <c r="BV44" s="623"/>
      <c r="BW44" s="623"/>
      <c r="BX44" s="623"/>
      <c r="BY44" s="623"/>
      <c r="BZ44" s="623"/>
      <c r="CA44" s="623"/>
    </row>
    <row r="45" spans="2:91" ht="12.75" customHeight="1">
      <c r="B45" s="590">
        <f t="shared" si="21"/>
        <v>2039</v>
      </c>
      <c r="C45" s="472"/>
      <c r="D45" s="591">
        <f t="shared" si="22"/>
        <v>78148.200143975409</v>
      </c>
      <c r="E45" s="592"/>
      <c r="F45" s="593">
        <v>0</v>
      </c>
      <c r="G45" s="592"/>
      <c r="H45" s="628">
        <f t="shared" si="30"/>
        <v>184.99656181953094</v>
      </c>
      <c r="I45" s="595"/>
      <c r="J45" s="591">
        <f t="shared" si="8"/>
        <v>1762.496925880386</v>
      </c>
      <c r="K45" s="904"/>
      <c r="L45" s="596">
        <f t="shared" si="9"/>
        <v>80095.693631675327</v>
      </c>
      <c r="M45" s="629"/>
      <c r="N45" s="630"/>
      <c r="O45" s="596">
        <f t="shared" si="10"/>
        <v>1184.08003103183</v>
      </c>
      <c r="P45" s="601"/>
      <c r="Q45" s="596">
        <f t="shared" si="11"/>
        <v>29939.564421002186</v>
      </c>
      <c r="R45" s="598"/>
      <c r="S45" s="596">
        <f t="shared" si="12"/>
        <v>110035.25805267751</v>
      </c>
      <c r="T45" s="599"/>
      <c r="U45" s="600">
        <f>((AQ44+(H45/2))*X114-AU45-AV45)*(1-'All Rev &amp; Projects'!$B$16)</f>
        <v>9852.3319728016977</v>
      </c>
      <c r="V45" s="601"/>
      <c r="W45" s="602">
        <f>(((AQ44+(H45/2))*$O$62)-AX45-AU45-AV45)*(1-'All Rev &amp; Projects'!$B$16)</f>
        <v>7642.772241108245</v>
      </c>
      <c r="X45" s="476"/>
      <c r="Y45" s="603">
        <f t="shared" si="28"/>
        <v>3697</v>
      </c>
      <c r="Z45" s="604"/>
      <c r="AA45" s="605">
        <f>IF(((D45+H45)*'Extended Forecast'!Y114)&gt;AE44+W45-Y45,AE44+W45-Y45,((D45+H45)*'Extended Forecast'!Y114))</f>
        <v>1762.496925880386</v>
      </c>
      <c r="AB45" s="606"/>
      <c r="AC45" s="593">
        <f t="shared" si="13"/>
        <v>22.280999999999999</v>
      </c>
      <c r="AD45" s="607"/>
      <c r="AE45" s="593">
        <f t="shared" si="27"/>
        <v>34239.473201460947</v>
      </c>
      <c r="AF45" s="608"/>
      <c r="AG45" s="607"/>
      <c r="AH45" s="593">
        <f t="shared" si="14"/>
        <v>1003.1987006616255</v>
      </c>
      <c r="AI45" s="607"/>
      <c r="AJ45" s="593">
        <f t="shared" si="24"/>
        <v>12798.627081879933</v>
      </c>
      <c r="AK45" s="607"/>
      <c r="AL45" s="594">
        <f t="shared" si="15"/>
        <v>3186.4740158894847</v>
      </c>
      <c r="AM45" s="594">
        <f t="shared" si="16"/>
        <v>47037.100283340864</v>
      </c>
      <c r="AN45" s="598"/>
      <c r="AO45" s="609">
        <f t="shared" si="0"/>
        <v>2039</v>
      </c>
      <c r="AP45" s="598"/>
      <c r="AQ45" s="610">
        <f t="shared" si="25"/>
        <v>157072.35833601837</v>
      </c>
      <c r="AR45" s="611"/>
      <c r="AS45" s="563"/>
      <c r="AT45" s="635"/>
      <c r="AU45" s="574">
        <f t="shared" si="29"/>
        <v>247.25423571286638</v>
      </c>
      <c r="AV45" s="520">
        <f t="shared" si="31"/>
        <v>7.15</v>
      </c>
      <c r="AW45" s="521">
        <f t="shared" si="31"/>
        <v>424.4</v>
      </c>
      <c r="AX45" s="521">
        <f t="shared" si="26"/>
        <v>22.280999999999999</v>
      </c>
      <c r="AY45" s="564">
        <f t="shared" si="19"/>
        <v>0</v>
      </c>
      <c r="AZ45" s="585">
        <f t="shared" si="1"/>
        <v>2187.2787316934528</v>
      </c>
      <c r="BA45" s="550">
        <f t="shared" si="20"/>
        <v>42738.191502882117</v>
      </c>
      <c r="BB45" s="551">
        <f t="shared" si="3"/>
        <v>80095.693631675327</v>
      </c>
      <c r="BC45" s="552">
        <f t="shared" si="4"/>
        <v>0.7005341912744053</v>
      </c>
      <c r="BD45" s="551">
        <f t="shared" si="5"/>
        <v>34239.473201460947</v>
      </c>
      <c r="BE45" s="553">
        <f t="shared" si="6"/>
        <v>0.2994658087255947</v>
      </c>
      <c r="BF45" s="612">
        <v>2038</v>
      </c>
      <c r="BG45" s="613">
        <f t="shared" si="23"/>
        <v>7.5982000000000008E-2</v>
      </c>
      <c r="BU45" s="623"/>
      <c r="BV45" s="623"/>
      <c r="BW45" s="623"/>
      <c r="BX45" s="623"/>
      <c r="BY45" s="623"/>
      <c r="BZ45" s="623"/>
      <c r="CA45" s="623"/>
    </row>
    <row r="46" spans="2:91" ht="12.75" customHeight="1">
      <c r="B46" s="590">
        <f t="shared" si="21"/>
        <v>2040</v>
      </c>
      <c r="C46" s="472"/>
      <c r="D46" s="591">
        <f t="shared" si="22"/>
        <v>80095.693631675327</v>
      </c>
      <c r="E46" s="592"/>
      <c r="F46" s="593">
        <v>0</v>
      </c>
      <c r="G46" s="592"/>
      <c r="H46" s="628">
        <f t="shared" si="30"/>
        <v>173.89676811035906</v>
      </c>
      <c r="I46" s="595"/>
      <c r="J46" s="591">
        <f t="shared" si="8"/>
        <v>1806.0657839951778</v>
      </c>
      <c r="K46" s="904"/>
      <c r="L46" s="596">
        <f t="shared" si="9"/>
        <v>82075.656183780855</v>
      </c>
      <c r="M46" s="629"/>
      <c r="N46" s="630"/>
      <c r="O46" s="596">
        <f t="shared" si="10"/>
        <v>1208.4229073587558</v>
      </c>
      <c r="P46" s="601"/>
      <c r="Q46" s="596">
        <f t="shared" si="11"/>
        <v>31147.987328360941</v>
      </c>
      <c r="R46" s="598"/>
      <c r="S46" s="596">
        <f t="shared" si="12"/>
        <v>113223.6435121418</v>
      </c>
      <c r="T46" s="599"/>
      <c r="U46" s="600">
        <f>((AQ45+(H46/2))*X115-AU46-AV46)*(1-'All Rev &amp; Projects'!$B$16)</f>
        <v>10267.851687460676</v>
      </c>
      <c r="V46" s="601"/>
      <c r="W46" s="602">
        <f>(((AQ45+(H46/2))*$O$62)-AX46-AU46-AV46)*(1-'All Rev &amp; Projects'!$B$16)</f>
        <v>7966.7607400196075</v>
      </c>
      <c r="X46" s="476"/>
      <c r="Y46" s="603">
        <f t="shared" si="28"/>
        <v>3855</v>
      </c>
      <c r="Z46" s="604"/>
      <c r="AA46" s="605">
        <f>IF(((D46+H46)*'Extended Forecast'!Y115)&gt;AE45+W46-Y46,AE45+W46-Y46,((D46+H46)*'Extended Forecast'!Y115))</f>
        <v>1806.0657839951778</v>
      </c>
      <c r="AB46" s="606"/>
      <c r="AC46" s="593">
        <f t="shared" si="13"/>
        <v>22.280999999999999</v>
      </c>
      <c r="AD46" s="607"/>
      <c r="AE46" s="593">
        <f t="shared" si="27"/>
        <v>36545.168157485379</v>
      </c>
      <c r="AF46" s="608"/>
      <c r="AG46" s="607"/>
      <c r="AH46" s="593">
        <f t="shared" si="14"/>
        <v>1070.3870400823107</v>
      </c>
      <c r="AI46" s="607"/>
      <c r="AJ46" s="593">
        <f t="shared" si="24"/>
        <v>13869.014121962244</v>
      </c>
      <c r="AK46" s="607"/>
      <c r="AL46" s="594">
        <f t="shared" si="15"/>
        <v>3376.0819961067405</v>
      </c>
      <c r="AM46" s="594">
        <f t="shared" si="16"/>
        <v>50413.182279447603</v>
      </c>
      <c r="AN46" s="598"/>
      <c r="AO46" s="609">
        <f t="shared" si="0"/>
        <v>2040</v>
      </c>
      <c r="AP46" s="598"/>
      <c r="AQ46" s="610">
        <f t="shared" si="25"/>
        <v>163636.82579158939</v>
      </c>
      <c r="AR46" s="611"/>
      <c r="AS46" s="563"/>
      <c r="AT46" s="635"/>
      <c r="AU46" s="574">
        <f t="shared" si="29"/>
        <v>254.67186278425237</v>
      </c>
      <c r="AV46" s="520">
        <f t="shared" si="31"/>
        <v>7.15</v>
      </c>
      <c r="AW46" s="521">
        <f t="shared" si="31"/>
        <v>424.4</v>
      </c>
      <c r="AX46" s="521">
        <f t="shared" si="26"/>
        <v>22.280999999999999</v>
      </c>
      <c r="AY46" s="564">
        <f t="shared" si="19"/>
        <v>0</v>
      </c>
      <c r="AZ46" s="585">
        <f t="shared" si="1"/>
        <v>2278.8099474410683</v>
      </c>
      <c r="BA46" s="550">
        <f t="shared" si="20"/>
        <v>45017.001450323187</v>
      </c>
      <c r="BB46" s="551">
        <f t="shared" si="3"/>
        <v>82075.656183780855</v>
      </c>
      <c r="BC46" s="552">
        <f t="shared" si="4"/>
        <v>0.69191608336537314</v>
      </c>
      <c r="BD46" s="551">
        <f t="shared" si="5"/>
        <v>36545.168157485379</v>
      </c>
      <c r="BE46" s="553">
        <f>BD46/($BB46+$BD46)</f>
        <v>0.30808391663462681</v>
      </c>
      <c r="BF46" s="612">
        <v>2039</v>
      </c>
      <c r="BG46" s="613">
        <f t="shared" si="23"/>
        <v>7.5982000000000008E-2</v>
      </c>
      <c r="BU46" s="623"/>
      <c r="BV46" s="623"/>
      <c r="BW46" s="623"/>
      <c r="BX46" s="623"/>
      <c r="BY46" s="623"/>
      <c r="BZ46" s="623"/>
      <c r="CA46" s="623"/>
    </row>
    <row r="47" spans="2:91" ht="12.75" customHeight="1">
      <c r="B47" s="590">
        <f t="shared" si="21"/>
        <v>2041</v>
      </c>
      <c r="C47" s="472"/>
      <c r="D47" s="591">
        <f t="shared" si="22"/>
        <v>82075.656183780855</v>
      </c>
      <c r="E47" s="592"/>
      <c r="F47" s="593">
        <v>0</v>
      </c>
      <c r="G47" s="592"/>
      <c r="H47" s="628">
        <f t="shared" si="30"/>
        <v>163.4629620237375</v>
      </c>
      <c r="I47" s="595"/>
      <c r="J47" s="591">
        <f t="shared" si="8"/>
        <v>1850.3801807806033</v>
      </c>
      <c r="K47" s="904"/>
      <c r="L47" s="596">
        <f t="shared" si="9"/>
        <v>84089.499326585195</v>
      </c>
      <c r="M47" s="629"/>
      <c r="N47" s="630"/>
      <c r="O47" s="596">
        <f t="shared" si="10"/>
        <v>1232.923176299475</v>
      </c>
      <c r="P47" s="601"/>
      <c r="Q47" s="596">
        <f t="shared" si="11"/>
        <v>32380.910504660416</v>
      </c>
      <c r="R47" s="598"/>
      <c r="S47" s="596">
        <f t="shared" si="12"/>
        <v>116470.4098312456</v>
      </c>
      <c r="T47" s="599"/>
      <c r="U47" s="600">
        <f>((AQ46+(H47/2))*X116-AU47-AV47)*(1-'All Rev &amp; Projects'!$B$16)</f>
        <v>10699.681318596506</v>
      </c>
      <c r="V47" s="601"/>
      <c r="W47" s="602">
        <f>(((AQ46+(H47/2))*$O$62)-AX47-AU47-AV47)*(1-'All Rev &amp; Projects'!$B$16)</f>
        <v>8303.4812381437841</v>
      </c>
      <c r="X47" s="476"/>
      <c r="Y47" s="603">
        <f t="shared" si="28"/>
        <v>4019</v>
      </c>
      <c r="Z47" s="604"/>
      <c r="AA47" s="605">
        <f>IF(((D47+H47)*'Extended Forecast'!Y116)&gt;AE46+W47-Y47,AE46+W47-Y47,((D47+H47)*'Extended Forecast'!Y116))</f>
        <v>1850.3801807806033</v>
      </c>
      <c r="AB47" s="606"/>
      <c r="AC47" s="593">
        <f t="shared" si="13"/>
        <v>22.280999999999999</v>
      </c>
      <c r="AD47" s="607"/>
      <c r="AE47" s="593">
        <f t="shared" si="27"/>
        <v>38979.269214848566</v>
      </c>
      <c r="AF47" s="608"/>
      <c r="AG47" s="607"/>
      <c r="AH47" s="593">
        <f t="shared" si="14"/>
        <v>1140.9959041532547</v>
      </c>
      <c r="AI47" s="607"/>
      <c r="AJ47" s="593">
        <f t="shared" si="24"/>
        <v>15010.010026115498</v>
      </c>
      <c r="AK47" s="607"/>
      <c r="AL47" s="594">
        <f t="shared" si="15"/>
        <v>3575.0969615164358</v>
      </c>
      <c r="AM47" s="594">
        <f t="shared" si="16"/>
        <v>53988.279240964039</v>
      </c>
      <c r="AN47" s="598"/>
      <c r="AO47" s="609">
        <f t="shared" si="0"/>
        <v>2041</v>
      </c>
      <c r="AP47" s="598"/>
      <c r="AQ47" s="610">
        <f t="shared" si="25"/>
        <v>170458.68907220964</v>
      </c>
      <c r="AR47" s="611"/>
      <c r="AS47" s="563"/>
      <c r="AT47" s="635"/>
      <c r="AU47" s="574">
        <f t="shared" si="29"/>
        <v>262.31201866777997</v>
      </c>
      <c r="AV47" s="520">
        <f t="shared" si="31"/>
        <v>7.15</v>
      </c>
      <c r="AW47" s="521">
        <f t="shared" si="31"/>
        <v>424.4</v>
      </c>
      <c r="AX47" s="521">
        <f t="shared" si="26"/>
        <v>22.280999999999999</v>
      </c>
      <c r="AY47" s="564">
        <f t="shared" si="19"/>
        <v>0</v>
      </c>
      <c r="AZ47" s="585">
        <f t="shared" si="1"/>
        <v>2373.9190804527216</v>
      </c>
      <c r="BA47" s="550">
        <f t="shared" si="20"/>
        <v>47390.920530775911</v>
      </c>
      <c r="BB47" s="551">
        <f t="shared" si="3"/>
        <v>84089.499326585195</v>
      </c>
      <c r="BC47" s="552">
        <f t="shared" si="4"/>
        <v>0.68327245265540015</v>
      </c>
      <c r="BD47" s="551">
        <f t="shared" si="5"/>
        <v>38979.269214848566</v>
      </c>
      <c r="BE47" s="553">
        <f t="shared" si="6"/>
        <v>0.3167275473445999</v>
      </c>
      <c r="BF47" s="612">
        <v>2040</v>
      </c>
      <c r="BG47" s="613">
        <f t="shared" si="23"/>
        <v>7.5982000000000008E-2</v>
      </c>
      <c r="BU47" s="623"/>
      <c r="BV47" s="623"/>
      <c r="BW47" s="623"/>
      <c r="BX47" s="623"/>
      <c r="BY47" s="623"/>
      <c r="BZ47" s="623"/>
      <c r="CA47" s="623"/>
    </row>
    <row r="48" spans="2:91" ht="12.75" customHeight="1">
      <c r="B48" s="590">
        <f t="shared" si="21"/>
        <v>2042</v>
      </c>
      <c r="C48" s="472"/>
      <c r="D48" s="591">
        <f t="shared" si="22"/>
        <v>84089.499326585195</v>
      </c>
      <c r="E48" s="592"/>
      <c r="F48" s="593">
        <v>0</v>
      </c>
      <c r="G48" s="592"/>
      <c r="H48" s="628">
        <f t="shared" si="30"/>
        <v>153.65518430231324</v>
      </c>
      <c r="I48" s="595"/>
      <c r="J48" s="591">
        <f t="shared" si="8"/>
        <v>1895.4709764949689</v>
      </c>
      <c r="K48" s="904"/>
      <c r="L48" s="596">
        <f t="shared" si="9"/>
        <v>86138.62548738248</v>
      </c>
      <c r="M48" s="629"/>
      <c r="N48" s="630"/>
      <c r="O48" s="596">
        <f t="shared" si="10"/>
        <v>1257.5321155175261</v>
      </c>
      <c r="P48" s="601"/>
      <c r="Q48" s="596">
        <f t="shared" si="11"/>
        <v>33638.442620177942</v>
      </c>
      <c r="R48" s="598"/>
      <c r="S48" s="596">
        <f t="shared" si="12"/>
        <v>119777.06810756042</v>
      </c>
      <c r="T48" s="599"/>
      <c r="U48" s="600">
        <f>((AQ47+(H48/2))*X117-AU48-AV48)*(1-'All Rev &amp; Projects'!$B$16)</f>
        <v>11148.548237284362</v>
      </c>
      <c r="V48" s="601"/>
      <c r="W48" s="602">
        <f>(((AQ47+(H48/2))*$O$62)-AX48-AU48-AV48)*(1-'All Rev &amp; Projects'!$B$16)</f>
        <v>8653.5022456511269</v>
      </c>
      <c r="X48" s="476"/>
      <c r="Y48" s="603">
        <f t="shared" si="28"/>
        <v>4189</v>
      </c>
      <c r="Z48" s="604"/>
      <c r="AA48" s="605">
        <f>IF(((D48+H48)*'Extended Forecast'!Y117)&gt;AE47+W48-Y48,AE47+W48-Y48,((D48+H48)*'Extended Forecast'!Y117))</f>
        <v>1895.4709764949689</v>
      </c>
      <c r="AB48" s="606"/>
      <c r="AC48" s="593">
        <f t="shared" si="13"/>
        <v>22.280999999999999</v>
      </c>
      <c r="AD48" s="607"/>
      <c r="AE48" s="593">
        <f t="shared" si="27"/>
        <v>41548.300484004729</v>
      </c>
      <c r="AF48" s="608"/>
      <c r="AG48" s="607"/>
      <c r="AH48" s="593">
        <f t="shared" si="14"/>
        <v>1215.2328761157041</v>
      </c>
      <c r="AI48" s="607"/>
      <c r="AJ48" s="593">
        <f t="shared" si="24"/>
        <v>16225.242902231203</v>
      </c>
      <c r="AK48" s="607"/>
      <c r="AL48" s="594">
        <f t="shared" si="15"/>
        <v>3784.2641452718622</v>
      </c>
      <c r="AM48" s="594">
        <f t="shared" si="16"/>
        <v>57772.543386235899</v>
      </c>
      <c r="AN48" s="598"/>
      <c r="AO48" s="609">
        <f t="shared" si="0"/>
        <v>2042</v>
      </c>
      <c r="AP48" s="598"/>
      <c r="AQ48" s="610">
        <f t="shared" si="25"/>
        <v>177549.61149379631</v>
      </c>
      <c r="AR48" s="611"/>
      <c r="AS48" s="563"/>
      <c r="AT48" s="635"/>
      <c r="AU48" s="574">
        <f t="shared" si="29"/>
        <v>270.18137922781335</v>
      </c>
      <c r="AV48" s="520">
        <f t="shared" si="31"/>
        <v>7.15</v>
      </c>
      <c r="AW48" s="521">
        <f t="shared" si="31"/>
        <v>424.4</v>
      </c>
      <c r="AX48" s="521">
        <f t="shared" si="26"/>
        <v>22.280999999999999</v>
      </c>
      <c r="AY48" s="564">
        <f t="shared" si="19"/>
        <v>0</v>
      </c>
      <c r="AZ48" s="585">
        <f t="shared" si="1"/>
        <v>2472.7649916332348</v>
      </c>
      <c r="BA48" s="550">
        <f t="shared" si="20"/>
        <v>49863.685522409149</v>
      </c>
      <c r="BB48" s="551">
        <f t="shared" si="3"/>
        <v>86138.62548738248</v>
      </c>
      <c r="BC48" s="552">
        <f t="shared" si="4"/>
        <v>0.67460802922520735</v>
      </c>
      <c r="BD48" s="551">
        <f t="shared" si="5"/>
        <v>41548.300484004729</v>
      </c>
      <c r="BE48" s="553">
        <f t="shared" si="6"/>
        <v>0.32539197077479254</v>
      </c>
      <c r="BF48" s="612">
        <v>2041</v>
      </c>
      <c r="BG48" s="613">
        <f t="shared" si="23"/>
        <v>7.5982000000000008E-2</v>
      </c>
      <c r="BU48" s="623"/>
      <c r="BV48" s="623"/>
      <c r="BW48" s="623"/>
      <c r="BX48" s="623"/>
      <c r="BY48" s="623"/>
      <c r="BZ48" s="623"/>
      <c r="CA48" s="623"/>
    </row>
    <row r="49" spans="1:89" ht="12.75" customHeight="1">
      <c r="B49" s="590">
        <f t="shared" si="21"/>
        <v>2043</v>
      </c>
      <c r="C49" s="472"/>
      <c r="D49" s="591">
        <f t="shared" si="22"/>
        <v>86138.62548738248</v>
      </c>
      <c r="E49" s="592"/>
      <c r="F49" s="593">
        <v>0</v>
      </c>
      <c r="G49" s="592"/>
      <c r="H49" s="628">
        <f t="shared" si="30"/>
        <v>144.43587324417445</v>
      </c>
      <c r="I49" s="595"/>
      <c r="J49" s="591">
        <f t="shared" si="8"/>
        <v>1941.3688806140997</v>
      </c>
      <c r="K49" s="904"/>
      <c r="L49" s="596">
        <f t="shared" si="9"/>
        <v>88224.430241240756</v>
      </c>
      <c r="M49" s="629"/>
      <c r="N49" s="630"/>
      <c r="O49" s="596">
        <f t="shared" si="10"/>
        <v>1282.460847191076</v>
      </c>
      <c r="P49" s="601"/>
      <c r="Q49" s="596">
        <f t="shared" si="11"/>
        <v>34920.903467369018</v>
      </c>
      <c r="R49" s="598"/>
      <c r="S49" s="596">
        <f t="shared" si="12"/>
        <v>123145.33370860977</v>
      </c>
      <c r="T49" s="599"/>
      <c r="U49" s="600">
        <f>((AQ48+(H49/2))*X118-AU49-AV49)*(1-'All Rev &amp; Projects'!$B$16)</f>
        <v>11615.225751233387</v>
      </c>
      <c r="V49" s="601"/>
      <c r="W49" s="602">
        <f>(((AQ48+(H49/2))*$O$62)-AX49-AU49-AV49)*(1-'All Rev &amp; Projects'!$B$16)</f>
        <v>9017.4282244923179</v>
      </c>
      <c r="X49" s="476"/>
      <c r="Y49" s="603">
        <f t="shared" si="28"/>
        <v>4366</v>
      </c>
      <c r="Z49" s="604"/>
      <c r="AA49" s="605">
        <f>IF(((D49+H49)*'Extended Forecast'!Y118)&gt;AE48+W49-Y49,AE48+W49-Y49,((D49+H49)*'Extended Forecast'!Y118))</f>
        <v>1941.3688806140997</v>
      </c>
      <c r="AB49" s="606"/>
      <c r="AC49" s="593">
        <f t="shared" si="13"/>
        <v>22.280999999999999</v>
      </c>
      <c r="AD49" s="607"/>
      <c r="AE49" s="593">
        <f t="shared" si="27"/>
        <v>44258.359827882945</v>
      </c>
      <c r="AF49" s="608"/>
      <c r="AG49" s="607"/>
      <c r="AH49" s="593">
        <f t="shared" si="14"/>
        <v>1293.0556795500052</v>
      </c>
      <c r="AI49" s="607"/>
      <c r="AJ49" s="593">
        <f t="shared" si="24"/>
        <v>17518.298581781208</v>
      </c>
      <c r="AK49" s="607"/>
      <c r="AL49" s="594">
        <f t="shared" si="15"/>
        <v>4003.1150234282231</v>
      </c>
      <c r="AM49" s="594">
        <f t="shared" si="16"/>
        <v>61775.658409664124</v>
      </c>
      <c r="AN49" s="598"/>
      <c r="AO49" s="609">
        <f t="shared" si="0"/>
        <v>2043</v>
      </c>
      <c r="AP49" s="598"/>
      <c r="AQ49" s="610">
        <f t="shared" si="25"/>
        <v>184920.99211827389</v>
      </c>
      <c r="AR49" s="611"/>
      <c r="AS49" s="563"/>
      <c r="AT49" s="635"/>
      <c r="AU49" s="574">
        <f t="shared" si="29"/>
        <v>278.28682060464774</v>
      </c>
      <c r="AV49" s="520">
        <f t="shared" si="31"/>
        <v>7.15</v>
      </c>
      <c r="AW49" s="521">
        <f t="shared" si="31"/>
        <v>424.4</v>
      </c>
      <c r="AX49" s="521">
        <f t="shared" si="26"/>
        <v>22.280999999999999</v>
      </c>
      <c r="AY49" s="564">
        <f t="shared" si="19"/>
        <v>0</v>
      </c>
      <c r="AZ49" s="585">
        <f t="shared" si="1"/>
        <v>2575.5165267410694</v>
      </c>
      <c r="BA49" s="550">
        <f t="shared" si="20"/>
        <v>52439.202049150219</v>
      </c>
      <c r="BB49" s="551">
        <f t="shared" si="3"/>
        <v>88224.430241240756</v>
      </c>
      <c r="BC49" s="552">
        <f t="shared" si="4"/>
        <v>0.66593125186455637</v>
      </c>
      <c r="BD49" s="551">
        <f t="shared" si="5"/>
        <v>44258.359827882945</v>
      </c>
      <c r="BE49" s="553">
        <f t="shared" si="6"/>
        <v>0.33406874813544368</v>
      </c>
      <c r="BF49" s="612">
        <v>2042</v>
      </c>
      <c r="BG49" s="613">
        <f t="shared" si="23"/>
        <v>7.5982000000000008E-2</v>
      </c>
      <c r="BU49" s="623"/>
      <c r="BV49" s="623"/>
      <c r="BW49" s="623"/>
      <c r="BX49" s="623"/>
      <c r="BY49" s="623"/>
      <c r="BZ49" s="623"/>
      <c r="CA49" s="623"/>
    </row>
    <row r="50" spans="1:89" ht="12.75" customHeight="1">
      <c r="B50" s="590">
        <f t="shared" si="21"/>
        <v>2044</v>
      </c>
      <c r="C50" s="472"/>
      <c r="D50" s="591">
        <f t="shared" si="22"/>
        <v>88224.430241240756</v>
      </c>
      <c r="E50" s="592"/>
      <c r="F50" s="593">
        <v>0</v>
      </c>
      <c r="G50" s="592"/>
      <c r="H50" s="628">
        <f t="shared" si="30"/>
        <v>135.76972084952396</v>
      </c>
      <c r="I50" s="595"/>
      <c r="J50" s="591">
        <f t="shared" si="8"/>
        <v>1988.1044991470312</v>
      </c>
      <c r="K50" s="904"/>
      <c r="L50" s="596">
        <f t="shared" si="9"/>
        <v>90348.304461237305</v>
      </c>
      <c r="M50" s="629"/>
      <c r="N50" s="630"/>
      <c r="O50" s="596">
        <f t="shared" si="10"/>
        <v>1307.6575758460385</v>
      </c>
      <c r="P50" s="601"/>
      <c r="Q50" s="596">
        <f t="shared" si="11"/>
        <v>36228.561043215057</v>
      </c>
      <c r="R50" s="598"/>
      <c r="S50" s="596">
        <f t="shared" si="12"/>
        <v>126576.86550445236</v>
      </c>
      <c r="T50" s="599"/>
      <c r="U50" s="600">
        <f>((AQ49+(H50/2))*X119-AU50-AV50)*(1-'All Rev &amp; Projects'!$B$16)</f>
        <v>12100.469332350025</v>
      </c>
      <c r="V50" s="601"/>
      <c r="W50" s="602">
        <f>(((AQ49+(H50/2))*$O$62)-AX50-AU50-AV50)*(1-'All Rev &amp; Projects'!$B$16)</f>
        <v>9395.8496161588919</v>
      </c>
      <c r="X50" s="476"/>
      <c r="Y50" s="603">
        <f t="shared" si="28"/>
        <v>4550</v>
      </c>
      <c r="Z50" s="604"/>
      <c r="AA50" s="605">
        <f>IF(((D50+H50)*'Extended Forecast'!Y119)&gt;AE49+W50-Y50,AE49+W50-Y50,((D50+H50)*'Extended Forecast'!Y119))</f>
        <v>1988.1044991470312</v>
      </c>
      <c r="AB50" s="606"/>
      <c r="AC50" s="593">
        <f t="shared" si="13"/>
        <v>22.280999999999999</v>
      </c>
      <c r="AD50" s="607"/>
      <c r="AE50" s="593">
        <f t="shared" si="27"/>
        <v>47116.104944894803</v>
      </c>
      <c r="AF50" s="608"/>
      <c r="AG50" s="607"/>
      <c r="AH50" s="593">
        <f t="shared" si="14"/>
        <v>1374.6811403450811</v>
      </c>
      <c r="AI50" s="607"/>
      <c r="AJ50" s="593">
        <f t="shared" si="24"/>
        <v>18892.979722126289</v>
      </c>
      <c r="AK50" s="607"/>
      <c r="AL50" s="594">
        <f t="shared" si="15"/>
        <v>4232.4262573569413</v>
      </c>
      <c r="AM50" s="594">
        <f t="shared" si="16"/>
        <v>66008.084667021059</v>
      </c>
      <c r="AN50" s="598"/>
      <c r="AO50" s="609">
        <f t="shared" si="0"/>
        <v>2044</v>
      </c>
      <c r="AP50" s="598"/>
      <c r="AQ50" s="610">
        <f t="shared" si="25"/>
        <v>192584.95017147344</v>
      </c>
      <c r="AR50" s="611"/>
      <c r="AS50" s="563"/>
      <c r="AT50" s="635"/>
      <c r="AU50" s="574">
        <f t="shared" si="29"/>
        <v>286.63542522278721</v>
      </c>
      <c r="AV50" s="520">
        <f t="shared" si="31"/>
        <v>7.15</v>
      </c>
      <c r="AW50" s="521">
        <f t="shared" si="31"/>
        <v>424.4</v>
      </c>
      <c r="AX50" s="521">
        <f t="shared" si="26"/>
        <v>22.280999999999999</v>
      </c>
      <c r="AY50" s="564">
        <f t="shared" si="19"/>
        <v>0</v>
      </c>
      <c r="AZ50" s="585">
        <f t="shared" si="1"/>
        <v>2682.3387161911332</v>
      </c>
      <c r="BA50" s="550">
        <f t="shared" si="20"/>
        <v>55121.540765341349</v>
      </c>
      <c r="BB50" s="551">
        <f t="shared" si="3"/>
        <v>90348.304461237305</v>
      </c>
      <c r="BC50" s="552">
        <f t="shared" si="4"/>
        <v>0.65724870060225915</v>
      </c>
      <c r="BD50" s="551">
        <f t="shared" si="5"/>
        <v>47116.104944894803</v>
      </c>
      <c r="BE50" s="553">
        <f t="shared" si="6"/>
        <v>0.34275129939774079</v>
      </c>
      <c r="BF50" s="612">
        <v>2043</v>
      </c>
      <c r="BG50" s="613">
        <f t="shared" si="23"/>
        <v>7.5982000000000008E-2</v>
      </c>
      <c r="BU50" s="623"/>
      <c r="BV50" s="623"/>
      <c r="BW50" s="623"/>
      <c r="BX50" s="623"/>
      <c r="BY50" s="623"/>
      <c r="BZ50" s="623"/>
      <c r="CA50" s="623"/>
    </row>
    <row r="51" spans="1:89" ht="12.75" customHeight="1" thickBot="1">
      <c r="B51" s="590">
        <f t="shared" si="21"/>
        <v>2045</v>
      </c>
      <c r="C51" s="472"/>
      <c r="D51" s="591">
        <f t="shared" si="22"/>
        <v>90348.304461237305</v>
      </c>
      <c r="E51" s="592"/>
      <c r="F51" s="593">
        <v>0</v>
      </c>
      <c r="G51" s="592"/>
      <c r="H51" s="628">
        <f t="shared" si="30"/>
        <v>127.62353759855252</v>
      </c>
      <c r="I51" s="595"/>
      <c r="J51" s="591">
        <f t="shared" si="8"/>
        <v>2035.7083799738068</v>
      </c>
      <c r="K51" s="904"/>
      <c r="L51" s="596">
        <f t="shared" si="9"/>
        <v>92511.636378809664</v>
      </c>
      <c r="M51" s="629"/>
      <c r="N51" s="630"/>
      <c r="O51" s="596">
        <f t="shared" si="10"/>
        <v>1333.3297222958136</v>
      </c>
      <c r="P51" s="601"/>
      <c r="Q51" s="596">
        <f t="shared" si="11"/>
        <v>37561.890765510871</v>
      </c>
      <c r="R51" s="598"/>
      <c r="S51" s="596">
        <f t="shared" si="12"/>
        <v>130073.52714432054</v>
      </c>
      <c r="T51" s="599"/>
      <c r="U51" s="600">
        <f>((AQ50+(H51/2))*X120-AU51-AV51)*(1-'All Rev &amp; Projects'!$B$16)</f>
        <v>12605.082562018801</v>
      </c>
      <c r="V51" s="601"/>
      <c r="W51" s="602">
        <f>(((AQ50+(H51/2))*$O$62)-AX51-AU51-AV51)*(1-'All Rev &amp; Projects'!$B$16)</f>
        <v>9789.3945138848449</v>
      </c>
      <c r="X51" s="476"/>
      <c r="Y51" s="603">
        <f t="shared" si="28"/>
        <v>4742</v>
      </c>
      <c r="Z51" s="604"/>
      <c r="AA51" s="605">
        <f>IF(((D51+H51)*'Extended Forecast'!Y120)&gt;AE50+W51-Y51,AE50+W51-Y51,((D51+H51)*'Extended Forecast'!Y120))</f>
        <v>2035.7083799738068</v>
      </c>
      <c r="AB51" s="606"/>
      <c r="AC51" s="593">
        <f t="shared" si="13"/>
        <v>22.280999999999999</v>
      </c>
      <c r="AD51" s="607"/>
      <c r="AE51" s="593">
        <f t="shared" si="27"/>
        <v>50127.791078805836</v>
      </c>
      <c r="AF51" s="608"/>
      <c r="AG51" s="607"/>
      <c r="AH51" s="593">
        <f t="shared" si="14"/>
        <v>1460.077325838145</v>
      </c>
      <c r="AI51" s="607"/>
      <c r="AJ51" s="593">
        <f t="shared" si="24"/>
        <v>20353.057047964434</v>
      </c>
      <c r="AK51" s="607"/>
      <c r="AL51" s="594">
        <f t="shared" si="15"/>
        <v>4471.7634597491833</v>
      </c>
      <c r="AM51" s="594">
        <f t="shared" si="16"/>
        <v>70479.848126770245</v>
      </c>
      <c r="AN51" s="598"/>
      <c r="AO51" s="609">
        <f t="shared" si="0"/>
        <v>2045</v>
      </c>
      <c r="AP51" s="598"/>
      <c r="AQ51" s="610">
        <f t="shared" si="25"/>
        <v>200553.37527109077</v>
      </c>
      <c r="AR51" s="611"/>
      <c r="AS51" s="563"/>
      <c r="AT51" s="635"/>
      <c r="AU51" s="636">
        <f t="shared" si="29"/>
        <v>295.23448797947083</v>
      </c>
      <c r="AV51" s="637">
        <f t="shared" si="31"/>
        <v>7.15</v>
      </c>
      <c r="AW51" s="638">
        <f t="shared" si="31"/>
        <v>424.4</v>
      </c>
      <c r="AX51" s="638">
        <f t="shared" si="26"/>
        <v>22.280999999999999</v>
      </c>
      <c r="AY51" s="639">
        <f t="shared" si="19"/>
        <v>0</v>
      </c>
      <c r="AZ51" s="640">
        <f t="shared" si="1"/>
        <v>2793.4070481339559</v>
      </c>
      <c r="BA51" s="641">
        <f t="shared" si="20"/>
        <v>57914.947813475308</v>
      </c>
      <c r="BB51" s="642">
        <f t="shared" si="3"/>
        <v>92511.636378809664</v>
      </c>
      <c r="BC51" s="643">
        <f t="shared" si="4"/>
        <v>0.64856988020580053</v>
      </c>
      <c r="BD51" s="642">
        <f t="shared" si="5"/>
        <v>50127.791078805836</v>
      </c>
      <c r="BE51" s="644">
        <f t="shared" si="6"/>
        <v>0.35143011979419941</v>
      </c>
      <c r="BF51" s="612">
        <v>2044</v>
      </c>
      <c r="BG51" s="613">
        <f t="shared" si="23"/>
        <v>7.5982000000000008E-2</v>
      </c>
      <c r="BU51" s="623"/>
      <c r="BV51" s="623"/>
      <c r="BW51" s="623"/>
      <c r="BX51" s="623"/>
      <c r="BY51" s="623"/>
      <c r="BZ51" s="623"/>
      <c r="CA51" s="623"/>
    </row>
    <row r="52" spans="1:89" ht="12.75" customHeight="1" thickBot="1">
      <c r="B52" s="590">
        <f t="shared" si="21"/>
        <v>2046</v>
      </c>
      <c r="C52" s="472"/>
      <c r="D52" s="591">
        <f>L51</f>
        <v>92511.636378809664</v>
      </c>
      <c r="E52" s="592"/>
      <c r="F52" s="593">
        <v>0</v>
      </c>
      <c r="G52" s="592"/>
      <c r="H52" s="628">
        <f t="shared" si="30"/>
        <v>119.96612534263936</v>
      </c>
      <c r="I52" s="595"/>
      <c r="J52" s="591">
        <f>AA52</f>
        <v>2084.2110563434271</v>
      </c>
      <c r="K52" s="904"/>
      <c r="L52" s="596">
        <f>SUM(D52,F52,H52,J52)</f>
        <v>94715.813560495735</v>
      </c>
      <c r="M52" s="629"/>
      <c r="N52" s="630"/>
      <c r="O52" s="596">
        <f>Q52-Q51</f>
        <v>1359.1575978646433</v>
      </c>
      <c r="P52" s="601"/>
      <c r="Q52" s="596">
        <f>$BA52*BC52</f>
        <v>38921.048363375514</v>
      </c>
      <c r="R52" s="598"/>
      <c r="S52" s="596">
        <f>Q52+L52</f>
        <v>133636.86192387124</v>
      </c>
      <c r="T52" s="599"/>
      <c r="U52" s="600">
        <f>((AQ51+(H52/2))*X121-AU52-AV52)*(1-'All Rev &amp; Projects'!$B$16)</f>
        <v>13129.853485743206</v>
      </c>
      <c r="V52" s="601"/>
      <c r="W52" s="602">
        <f>(((AQ51+(H52/2))*$O$62)-AX52-AU52-AV52)*(1-'All Rev &amp; Projects'!$B$16)</f>
        <v>10198.678789903654</v>
      </c>
      <c r="X52" s="476"/>
      <c r="Y52" s="603">
        <f>IF(SUM(W48:W52)*0.21&gt;SUM(W52,AM51),SUM(W52,AM51)/2,ROUND(SUM(W48:W52)*0.21/2,0))</f>
        <v>4941</v>
      </c>
      <c r="Z52" s="604"/>
      <c r="AA52" s="605">
        <f>IF(((D52+H52)*'Extended Forecast'!Y121)&gt;AE51+W52-Y52,AE51+W52-Y52,((D52+H52)*'Extended Forecast'!Y121))</f>
        <v>2084.2110563434271</v>
      </c>
      <c r="AB52" s="606"/>
      <c r="AC52" s="593">
        <f>AX52</f>
        <v>22.280999999999999</v>
      </c>
      <c r="AD52" s="607"/>
      <c r="AE52" s="593">
        <f>AE51+W52-Y52-AA52</f>
        <v>53301.258812366068</v>
      </c>
      <c r="AF52" s="608"/>
      <c r="AG52" s="607"/>
      <c r="AH52" s="593">
        <f>AJ52-AJ51</f>
        <v>1549.7360979749137</v>
      </c>
      <c r="AI52" s="607"/>
      <c r="AJ52" s="593">
        <f t="shared" si="24"/>
        <v>21902.793145939348</v>
      </c>
      <c r="AK52" s="607"/>
      <c r="AL52" s="594">
        <f>W52-Y52-AA52+AH52</f>
        <v>4723.2038315351401</v>
      </c>
      <c r="AM52" s="594">
        <f>AM51+AL52</f>
        <v>75203.051958305383</v>
      </c>
      <c r="AN52" s="598"/>
      <c r="AO52" s="609">
        <f t="shared" si="0"/>
        <v>2046</v>
      </c>
      <c r="AP52" s="598"/>
      <c r="AQ52" s="610">
        <f t="shared" si="25"/>
        <v>208839.91388217662</v>
      </c>
      <c r="AR52" s="611"/>
      <c r="AS52" s="563"/>
      <c r="AT52" s="635"/>
      <c r="AU52" s="636">
        <f t="shared" si="29"/>
        <v>304.09152261885498</v>
      </c>
      <c r="AV52" s="637">
        <f t="shared" si="31"/>
        <v>7.15</v>
      </c>
      <c r="AW52" s="638">
        <f t="shared" si="31"/>
        <v>424.4</v>
      </c>
      <c r="AX52" s="638">
        <f t="shared" si="26"/>
        <v>22.280999999999999</v>
      </c>
      <c r="AY52" s="639">
        <f t="shared" si="19"/>
        <v>0</v>
      </c>
      <c r="AZ52" s="640">
        <f>U52-W52-AC52</f>
        <v>2908.8936958395525</v>
      </c>
      <c r="BA52" s="641">
        <f>BA51+AZ52</f>
        <v>60823.841509314858</v>
      </c>
      <c r="BB52" s="642">
        <f>L52</f>
        <v>94715.813560495735</v>
      </c>
      <c r="BC52" s="643">
        <f>BB52/($BB52+$BD52)</f>
        <v>0.6398978985471504</v>
      </c>
      <c r="BD52" s="642">
        <f>AE52</f>
        <v>53301.258812366068</v>
      </c>
      <c r="BE52" s="644">
        <f>BD52/($BB52+$BD52)</f>
        <v>0.36010210145284965</v>
      </c>
      <c r="BF52" s="612">
        <v>2045</v>
      </c>
      <c r="BG52" s="613">
        <f t="shared" si="23"/>
        <v>7.5982000000000008E-2</v>
      </c>
      <c r="BU52" s="623"/>
      <c r="BV52" s="623"/>
      <c r="BW52" s="623"/>
      <c r="BX52" s="623"/>
      <c r="BY52" s="623"/>
      <c r="BZ52" s="623"/>
      <c r="CA52" s="623"/>
    </row>
    <row r="53" spans="1:89" ht="12.75" customHeight="1">
      <c r="B53" s="645" t="s">
        <v>597</v>
      </c>
      <c r="C53" s="646"/>
      <c r="D53" s="647"/>
      <c r="E53" s="646"/>
      <c r="F53" s="648"/>
      <c r="G53" s="646"/>
      <c r="H53" s="649"/>
      <c r="I53" s="650"/>
      <c r="J53" s="651"/>
      <c r="K53" s="652"/>
      <c r="L53" s="653"/>
      <c r="M53" s="653"/>
      <c r="N53" s="653"/>
      <c r="O53" s="653"/>
      <c r="P53" s="653"/>
      <c r="Q53" s="654"/>
      <c r="R53" s="654"/>
      <c r="S53" s="655"/>
      <c r="T53" s="656"/>
      <c r="U53" s="657"/>
      <c r="V53" s="654"/>
      <c r="W53" s="651"/>
      <c r="X53" s="658"/>
      <c r="Y53" s="651"/>
      <c r="Z53" s="658"/>
      <c r="AA53" s="651"/>
      <c r="AB53" s="658"/>
      <c r="AC53" s="648"/>
      <c r="AD53" s="659"/>
      <c r="AE53" s="659"/>
      <c r="AF53" s="659"/>
      <c r="AG53" s="659"/>
      <c r="AH53" s="659"/>
      <c r="AI53" s="659"/>
      <c r="AJ53" s="659"/>
      <c r="AK53" s="659"/>
      <c r="AL53" s="648"/>
      <c r="AM53" s="659"/>
      <c r="AN53" s="660"/>
      <c r="AO53" s="661"/>
      <c r="AP53" s="662"/>
      <c r="AQ53" s="663"/>
      <c r="AR53" s="664"/>
      <c r="AS53" s="635"/>
      <c r="AT53" s="665"/>
      <c r="BU53" s="623"/>
      <c r="BV53" s="666"/>
      <c r="BW53" s="623"/>
      <c r="BX53" s="623"/>
      <c r="BY53" s="623"/>
      <c r="BZ53" s="623"/>
      <c r="CA53" s="623"/>
    </row>
    <row r="54" spans="1:89" ht="12.75" customHeight="1">
      <c r="A54" s="667"/>
      <c r="B54" s="668" t="s">
        <v>598</v>
      </c>
      <c r="C54" s="669"/>
      <c r="D54" s="670"/>
      <c r="E54" s="669"/>
      <c r="F54" s="671">
        <f>SUM(F21,F22:F51)</f>
        <v>0</v>
      </c>
      <c r="G54" s="669"/>
      <c r="H54" s="671">
        <f>SUM(H21,H22:H51)</f>
        <v>11028.039777622673</v>
      </c>
      <c r="I54" s="672"/>
      <c r="J54" s="671">
        <f>SUM(J21,J22:J51)</f>
        <v>43542.596601186975</v>
      </c>
      <c r="K54" s="673"/>
      <c r="L54" s="674"/>
      <c r="M54" s="674"/>
      <c r="N54" s="674"/>
      <c r="O54" s="671">
        <f>SUM(O21,O22:O51)</f>
        <v>30499.890765510871</v>
      </c>
      <c r="P54" s="674"/>
      <c r="Q54" s="675"/>
      <c r="R54" s="675"/>
      <c r="S54" s="676"/>
      <c r="T54" s="677"/>
      <c r="U54" s="671">
        <f>SUM(U21,U22:U51)</f>
        <v>222185.54253346808</v>
      </c>
      <c r="V54" s="675"/>
      <c r="W54" s="671">
        <f>SUM(W21,W22:W51)</f>
        <v>171619.38767999283</v>
      </c>
      <c r="X54" s="672"/>
      <c r="Y54" s="671">
        <f>SUM(Y21,Y22:Y51)</f>
        <v>83186</v>
      </c>
      <c r="Z54" s="672"/>
      <c r="AA54" s="671">
        <f>SUM(AA21,AA22:AA51)</f>
        <v>43542.596601186975</v>
      </c>
      <c r="AB54" s="672"/>
      <c r="AC54" s="671">
        <f>SUM(AC21,AC22:AC51)</f>
        <v>688.20703999999967</v>
      </c>
      <c r="AD54" s="674"/>
      <c r="AE54" s="674"/>
      <c r="AF54" s="674"/>
      <c r="AG54" s="674"/>
      <c r="AH54" s="671">
        <f>SUM(AH21,AH22:AH51)</f>
        <v>19378.057047964434</v>
      </c>
      <c r="AI54" s="674"/>
      <c r="AJ54" s="674"/>
      <c r="AK54" s="674"/>
      <c r="AL54" s="671">
        <f>SUM(AL21,AL22:AL51)</f>
        <v>64268.848126770252</v>
      </c>
      <c r="AM54" s="674"/>
      <c r="AN54" s="674"/>
      <c r="AO54" s="678"/>
      <c r="AP54" s="679"/>
      <c r="AQ54" s="680"/>
      <c r="AR54" s="681"/>
      <c r="AS54" s="665"/>
      <c r="AT54" s="682"/>
      <c r="AW54" s="683"/>
      <c r="BU54" s="623"/>
      <c r="BV54" s="666"/>
      <c r="BW54" s="666"/>
      <c r="BX54" s="623"/>
      <c r="BY54" s="623"/>
      <c r="BZ54" s="623"/>
      <c r="CA54" s="623"/>
    </row>
    <row r="55" spans="1:89" ht="12.75" customHeight="1">
      <c r="B55" s="684"/>
      <c r="C55" s="685"/>
      <c r="D55" s="686"/>
      <c r="E55" s="685"/>
      <c r="F55" s="687"/>
      <c r="G55" s="685"/>
      <c r="H55" s="684"/>
      <c r="I55" s="688"/>
      <c r="J55" s="689"/>
      <c r="K55" s="690"/>
      <c r="L55" s="689"/>
      <c r="M55" s="689"/>
      <c r="N55" s="689"/>
      <c r="O55" s="689"/>
      <c r="P55" s="689"/>
      <c r="Q55" s="691"/>
      <c r="R55" s="691"/>
      <c r="S55" s="691"/>
      <c r="T55" s="691"/>
      <c r="U55" s="691"/>
      <c r="V55" s="691"/>
      <c r="W55" s="689"/>
      <c r="X55" s="692"/>
      <c r="Y55" s="692"/>
      <c r="Z55" s="692"/>
      <c r="AA55" s="692"/>
      <c r="AB55" s="692"/>
      <c r="AC55" s="692"/>
      <c r="AD55" s="692"/>
      <c r="AE55" s="692"/>
      <c r="AF55" s="692"/>
      <c r="AG55" s="692"/>
      <c r="AH55" s="692"/>
      <c r="AI55" s="692"/>
      <c r="AJ55" s="692"/>
      <c r="AK55" s="692"/>
      <c r="AL55" s="692"/>
      <c r="AM55" s="692"/>
      <c r="AN55" s="693"/>
      <c r="AO55" s="693"/>
      <c r="AP55" s="693"/>
      <c r="AQ55" s="682"/>
      <c r="AR55" s="682"/>
      <c r="AS55" s="682"/>
      <c r="AU55" s="694"/>
      <c r="AV55" s="694"/>
      <c r="BU55" s="623"/>
      <c r="BV55" s="666"/>
      <c r="BW55" s="666"/>
      <c r="BX55" s="623"/>
      <c r="BY55" s="623"/>
      <c r="BZ55" s="623"/>
      <c r="CA55" s="623"/>
    </row>
    <row r="56" spans="1:89" ht="12.75" customHeight="1">
      <c r="B56" s="1204" t="s">
        <v>74</v>
      </c>
      <c r="C56" s="1205"/>
      <c r="D56" s="1205"/>
      <c r="E56" s="695" t="s">
        <v>599</v>
      </c>
      <c r="F56" s="696"/>
      <c r="G56" s="696"/>
      <c r="H56" s="696"/>
      <c r="I56" s="696"/>
      <c r="J56" s="696"/>
      <c r="K56" s="696"/>
      <c r="L56" s="696"/>
      <c r="M56" s="446"/>
      <c r="N56" s="446"/>
      <c r="O56" s="697" t="s">
        <v>600</v>
      </c>
      <c r="P56" s="698"/>
      <c r="R56" s="699" t="str">
        <f>"Notes related to financial history and projections FY1977 - FY20"&amp;B31&amp;":"</f>
        <v>Notes related to financial history and projections FY1977 - FY202025:</v>
      </c>
      <c r="S56" s="700"/>
      <c r="T56" s="700"/>
      <c r="U56" s="700"/>
      <c r="V56" s="700"/>
      <c r="W56" s="700"/>
      <c r="X56" s="700"/>
      <c r="Y56" s="700"/>
      <c r="Z56" s="700"/>
      <c r="AA56" s="700"/>
      <c r="AB56" s="700"/>
      <c r="AC56" s="446"/>
      <c r="AD56" s="446"/>
      <c r="AE56" s="446"/>
      <c r="AF56" s="446"/>
      <c r="AG56" s="446"/>
      <c r="AH56" s="446"/>
      <c r="AI56" s="446"/>
      <c r="AJ56" s="446"/>
      <c r="AK56" s="446"/>
      <c r="AL56" s="446"/>
      <c r="AM56" s="446"/>
      <c r="AN56" s="446"/>
      <c r="AO56" s="446"/>
      <c r="AP56" s="446"/>
      <c r="AQ56" s="446"/>
      <c r="AR56" s="701"/>
      <c r="AT56" s="682"/>
      <c r="AU56" s="694"/>
      <c r="AV56" s="694"/>
      <c r="BA56" s="702"/>
      <c r="BB56" s="702"/>
      <c r="BC56" s="702"/>
      <c r="BD56" s="702"/>
      <c r="BE56" s="702"/>
      <c r="BF56" s="702"/>
      <c r="BG56" s="702"/>
      <c r="BH56" s="702"/>
      <c r="BI56" s="702"/>
      <c r="BJ56" s="702"/>
      <c r="BK56" s="702"/>
      <c r="BL56" s="702"/>
      <c r="BM56" s="702"/>
      <c r="BN56" s="702"/>
      <c r="BO56" s="702"/>
      <c r="BP56" s="702"/>
      <c r="BQ56" s="702"/>
      <c r="BR56" s="702"/>
      <c r="BS56" s="702"/>
      <c r="BU56" s="623"/>
      <c r="BV56" s="666"/>
      <c r="BW56" s="703"/>
      <c r="BX56" s="703"/>
      <c r="BY56" s="703"/>
      <c r="BZ56" s="703"/>
      <c r="CA56" s="703"/>
      <c r="CB56" s="704"/>
      <c r="CC56" s="704"/>
      <c r="CD56" s="704"/>
      <c r="CE56" s="704"/>
      <c r="CF56" s="704"/>
      <c r="CG56" s="704"/>
      <c r="CH56" s="704"/>
      <c r="CI56" s="704"/>
      <c r="CJ56" s="704"/>
      <c r="CK56" s="704"/>
    </row>
    <row r="57" spans="1:89" ht="12.75" customHeight="1">
      <c r="B57" s="705">
        <v>0.1</v>
      </c>
      <c r="C57" s="706"/>
      <c r="D57" s="707" t="s">
        <v>0</v>
      </c>
      <c r="E57" s="708"/>
      <c r="F57" s="709">
        <v>-8.1799999999999998E-2</v>
      </c>
      <c r="G57" s="708"/>
      <c r="H57" s="709">
        <v>1.46E-2</v>
      </c>
      <c r="I57" s="710"/>
      <c r="J57" s="709">
        <f t="shared" ref="J57:J62" si="32">F57-H57</f>
        <v>-9.64E-2</v>
      </c>
      <c r="K57" s="623"/>
      <c r="L57" s="711">
        <f>B57</f>
        <v>0.1</v>
      </c>
      <c r="O57" s="712">
        <v>3.1E-2</v>
      </c>
      <c r="P57" s="713"/>
      <c r="R57" s="714">
        <v>-1</v>
      </c>
      <c r="S57" s="1206" t="s">
        <v>601</v>
      </c>
      <c r="T57" s="1206"/>
      <c r="U57" s="1206"/>
      <c r="V57" s="1206"/>
      <c r="W57" s="1206"/>
      <c r="X57" s="1206"/>
      <c r="Y57" s="1206"/>
      <c r="Z57" s="1206"/>
      <c r="AA57" s="1206"/>
      <c r="AB57" s="1206"/>
      <c r="AC57" s="1206"/>
      <c r="AD57" s="1206"/>
      <c r="AE57" s="1206"/>
      <c r="AF57" s="1206"/>
      <c r="AG57" s="1206"/>
      <c r="AH57" s="1206"/>
      <c r="AI57" s="1206"/>
      <c r="AJ57" s="1206"/>
      <c r="AK57" s="1206"/>
      <c r="AL57" s="1206"/>
      <c r="AM57" s="1206"/>
      <c r="AN57" s="1206"/>
      <c r="AO57" s="1206"/>
      <c r="AP57" s="1206"/>
      <c r="AQ57" s="1206"/>
      <c r="AR57" s="715"/>
      <c r="AS57" s="682"/>
      <c r="AT57" s="682"/>
      <c r="AU57" s="694"/>
      <c r="AV57" s="694"/>
      <c r="BA57" s="702"/>
      <c r="BB57" s="702"/>
      <c r="BC57" s="702"/>
      <c r="BD57" s="702"/>
      <c r="BE57" s="702"/>
      <c r="BF57" s="702"/>
      <c r="BG57" s="702"/>
      <c r="BH57" s="702"/>
      <c r="BI57" s="702"/>
      <c r="BJ57" s="702"/>
      <c r="BK57" s="702"/>
      <c r="BL57" s="702"/>
      <c r="BM57" s="702"/>
      <c r="BN57" s="702"/>
      <c r="BO57" s="702"/>
      <c r="BP57" s="702"/>
      <c r="BQ57" s="702"/>
      <c r="BR57" s="702"/>
      <c r="BS57" s="702"/>
      <c r="BU57" s="623"/>
      <c r="BV57" s="623"/>
      <c r="BW57" s="703"/>
      <c r="BX57" s="703"/>
      <c r="BY57" s="716"/>
      <c r="BZ57" s="703"/>
      <c r="CA57" s="703"/>
      <c r="CB57" s="704"/>
      <c r="CC57" s="704"/>
      <c r="CD57" s="704"/>
      <c r="CE57" s="704"/>
      <c r="CF57" s="704"/>
      <c r="CG57" s="704"/>
      <c r="CH57" s="704"/>
      <c r="CI57" s="704"/>
      <c r="CJ57" s="704"/>
      <c r="CK57" s="704"/>
    </row>
    <row r="58" spans="1:89" ht="12.95" customHeight="1">
      <c r="B58" s="705">
        <v>0.25</v>
      </c>
      <c r="C58" s="706"/>
      <c r="D58" s="707" t="str">
        <f>D57</f>
        <v>FY 2014</v>
      </c>
      <c r="E58" s="708"/>
      <c r="F58" s="709">
        <v>-1.21E-2</v>
      </c>
      <c r="G58" s="709"/>
      <c r="H58" s="709">
        <f>H57</f>
        <v>1.46E-2</v>
      </c>
      <c r="I58" s="710"/>
      <c r="J58" s="709">
        <f t="shared" si="32"/>
        <v>-2.6700000000000002E-2</v>
      </c>
      <c r="K58" s="717"/>
      <c r="L58" s="711">
        <f>B58</f>
        <v>0.25</v>
      </c>
      <c r="O58" s="712">
        <v>3.8399999999999997E-2</v>
      </c>
      <c r="P58" s="713"/>
      <c r="Q58" s="718"/>
      <c r="R58" s="714">
        <v>-2</v>
      </c>
      <c r="S58" s="1207" t="s">
        <v>602</v>
      </c>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715"/>
      <c r="AS58" s="682"/>
      <c r="AT58" s="682"/>
      <c r="AU58" s="694"/>
      <c r="AV58" s="694"/>
      <c r="BA58" s="702"/>
      <c r="BB58" s="702"/>
      <c r="BC58" s="702"/>
      <c r="BD58" s="702"/>
      <c r="BE58" s="702"/>
      <c r="BF58" s="702"/>
      <c r="BG58" s="702"/>
      <c r="BH58" s="702"/>
      <c r="BI58" s="702"/>
      <c r="BJ58" s="702"/>
      <c r="BK58" s="702"/>
      <c r="BL58" s="702"/>
      <c r="BM58" s="702"/>
      <c r="BN58" s="702"/>
      <c r="BO58" s="702"/>
      <c r="BP58" s="702"/>
      <c r="BQ58" s="702"/>
      <c r="BR58" s="702"/>
      <c r="BS58" s="702"/>
      <c r="BU58" s="623"/>
      <c r="BV58" s="623"/>
      <c r="BW58" s="703"/>
      <c r="BX58" s="703"/>
      <c r="BY58" s="716"/>
      <c r="BZ58" s="703"/>
      <c r="CA58" s="703"/>
      <c r="CB58" s="704"/>
      <c r="CC58" s="704"/>
      <c r="CD58" s="704"/>
      <c r="CE58" s="704"/>
      <c r="CF58" s="704"/>
      <c r="CG58" s="704"/>
      <c r="CH58" s="704"/>
      <c r="CI58" s="704"/>
      <c r="CJ58" s="704"/>
      <c r="CK58" s="704"/>
    </row>
    <row r="59" spans="1:89" ht="12.75" customHeight="1">
      <c r="B59" s="719" t="s">
        <v>157</v>
      </c>
      <c r="C59" s="720"/>
      <c r="D59" s="721" t="str">
        <f>D58</f>
        <v>FY 2014</v>
      </c>
      <c r="E59" s="582">
        <v>-6</v>
      </c>
      <c r="F59" s="722">
        <v>6.7000000000000004E-2</v>
      </c>
      <c r="G59" s="723"/>
      <c r="H59" s="722">
        <f>H57</f>
        <v>1.46E-2</v>
      </c>
      <c r="I59" s="724"/>
      <c r="J59" s="725">
        <f t="shared" si="32"/>
        <v>5.2400000000000002E-2</v>
      </c>
      <c r="K59" s="726"/>
      <c r="L59" s="727" t="s">
        <v>157</v>
      </c>
      <c r="O59" s="728">
        <v>4.6600000000000003E-2</v>
      </c>
      <c r="P59" s="713"/>
      <c r="R59" s="714">
        <v>-3</v>
      </c>
      <c r="S59" s="1206" t="s">
        <v>603</v>
      </c>
      <c r="T59" s="1206"/>
      <c r="U59" s="1206"/>
      <c r="V59" s="1206"/>
      <c r="W59" s="1206"/>
      <c r="X59" s="1206"/>
      <c r="Y59" s="1206"/>
      <c r="Z59" s="1206"/>
      <c r="AA59" s="1206"/>
      <c r="AB59" s="1206"/>
      <c r="AC59" s="1206"/>
      <c r="AD59" s="1206"/>
      <c r="AE59" s="1206"/>
      <c r="AF59" s="1206"/>
      <c r="AG59" s="1206"/>
      <c r="AH59" s="1206"/>
      <c r="AI59" s="1206"/>
      <c r="AJ59" s="1206"/>
      <c r="AK59" s="1206"/>
      <c r="AL59" s="1206"/>
      <c r="AM59" s="1206"/>
      <c r="AN59" s="1206"/>
      <c r="AO59" s="1206"/>
      <c r="AP59" s="1206"/>
      <c r="AQ59" s="1206"/>
      <c r="AR59" s="1208"/>
      <c r="AS59" s="682"/>
      <c r="AT59" s="682"/>
      <c r="AU59" s="694"/>
      <c r="AV59" s="694"/>
      <c r="BA59" s="702"/>
      <c r="BB59" s="702"/>
      <c r="BC59" s="702"/>
      <c r="BD59" s="702"/>
      <c r="BE59" s="702"/>
      <c r="BF59" s="702"/>
      <c r="BG59" s="702"/>
      <c r="BH59" s="702"/>
      <c r="BI59" s="702"/>
      <c r="BJ59" s="702"/>
      <c r="BK59" s="702"/>
      <c r="BL59" s="702"/>
      <c r="BM59" s="702"/>
      <c r="BN59" s="702"/>
      <c r="BO59" s="702"/>
      <c r="BP59" s="702"/>
      <c r="BQ59" s="702"/>
      <c r="BR59" s="702"/>
      <c r="BS59" s="702"/>
      <c r="BU59" s="623"/>
      <c r="BV59" s="623"/>
      <c r="BW59" s="703"/>
      <c r="BX59" s="703"/>
      <c r="BY59" s="716"/>
      <c r="BZ59" s="703"/>
      <c r="CA59" s="703"/>
      <c r="CB59" s="704"/>
      <c r="CC59" s="704"/>
      <c r="CD59" s="704"/>
      <c r="CE59" s="704"/>
      <c r="CF59" s="704"/>
      <c r="CG59" s="704"/>
      <c r="CH59" s="704"/>
      <c r="CI59" s="704"/>
      <c r="CJ59" s="704"/>
      <c r="CK59" s="704"/>
    </row>
    <row r="60" spans="1:89" ht="12.75" customHeight="1">
      <c r="B60" s="705">
        <v>0.25</v>
      </c>
      <c r="C60" s="706"/>
      <c r="D60" s="707" t="str">
        <f>D59</f>
        <v>FY 2014</v>
      </c>
      <c r="E60" s="708"/>
      <c r="F60" s="709">
        <v>0.15559999999999999</v>
      </c>
      <c r="G60" s="729"/>
      <c r="H60" s="709">
        <f>H57</f>
        <v>1.46E-2</v>
      </c>
      <c r="I60" s="710"/>
      <c r="J60" s="709">
        <f t="shared" si="32"/>
        <v>0.14099999999999999</v>
      </c>
      <c r="K60" s="730"/>
      <c r="L60" s="711">
        <f>B60</f>
        <v>0.25</v>
      </c>
      <c r="O60" s="712">
        <v>5.5E-2</v>
      </c>
      <c r="P60" s="731"/>
      <c r="R60" s="732"/>
      <c r="S60" s="1206"/>
      <c r="T60" s="1206"/>
      <c r="U60" s="1206"/>
      <c r="V60" s="1206"/>
      <c r="W60" s="1206"/>
      <c r="X60" s="1206"/>
      <c r="Y60" s="1206"/>
      <c r="Z60" s="1206"/>
      <c r="AA60" s="1206"/>
      <c r="AB60" s="1206"/>
      <c r="AC60" s="1206"/>
      <c r="AD60" s="1206"/>
      <c r="AE60" s="1206"/>
      <c r="AF60" s="1206"/>
      <c r="AG60" s="1206"/>
      <c r="AH60" s="1206"/>
      <c r="AI60" s="1206"/>
      <c r="AJ60" s="1206"/>
      <c r="AK60" s="1206"/>
      <c r="AL60" s="1206"/>
      <c r="AM60" s="1206"/>
      <c r="AN60" s="1206"/>
      <c r="AO60" s="1206"/>
      <c r="AP60" s="1206"/>
      <c r="AQ60" s="1206"/>
      <c r="AR60" s="1208"/>
      <c r="AS60" s="682"/>
      <c r="AT60" s="682"/>
      <c r="AU60" s="733"/>
      <c r="AV60" s="734"/>
      <c r="AX60" s="735"/>
      <c r="AY60" s="683"/>
      <c r="BA60" s="702"/>
      <c r="BB60" s="702"/>
      <c r="BC60" s="702"/>
      <c r="BD60" s="702"/>
      <c r="BE60" s="702"/>
      <c r="BF60" s="702"/>
      <c r="BG60" s="702"/>
      <c r="BH60" s="702"/>
      <c r="BI60" s="702"/>
      <c r="BJ60" s="702"/>
      <c r="BK60" s="702"/>
      <c r="BL60" s="702"/>
      <c r="BM60" s="702"/>
      <c r="BN60" s="702"/>
      <c r="BO60" s="702"/>
      <c r="BP60" s="702"/>
      <c r="BQ60" s="702"/>
      <c r="BR60" s="702"/>
      <c r="BS60" s="702"/>
      <c r="BU60" s="623"/>
      <c r="BV60" s="623"/>
      <c r="BW60" s="703"/>
      <c r="BX60" s="703"/>
      <c r="BY60" s="716"/>
      <c r="BZ60" s="703"/>
      <c r="CA60" s="703"/>
      <c r="CB60" s="704"/>
      <c r="CC60" s="704"/>
      <c r="CD60" s="704"/>
      <c r="CE60" s="704"/>
      <c r="CF60" s="704"/>
      <c r="CG60" s="704"/>
      <c r="CH60" s="704"/>
      <c r="CI60" s="704"/>
      <c r="CJ60" s="704"/>
      <c r="CK60" s="704"/>
    </row>
    <row r="61" spans="1:89" ht="12.75" customHeight="1" thickBot="1">
      <c r="B61" s="705">
        <v>0.1</v>
      </c>
      <c r="C61" s="706"/>
      <c r="D61" s="707" t="str">
        <f>D60</f>
        <v>FY 2014</v>
      </c>
      <c r="E61" s="708"/>
      <c r="F61" s="709">
        <v>0.23860000000000001</v>
      </c>
      <c r="G61" s="709"/>
      <c r="H61" s="709">
        <f>H57</f>
        <v>1.46E-2</v>
      </c>
      <c r="I61" s="710"/>
      <c r="J61" s="709">
        <f t="shared" si="32"/>
        <v>0.224</v>
      </c>
      <c r="K61" s="730"/>
      <c r="L61" s="711">
        <f>B61</f>
        <v>0.1</v>
      </c>
      <c r="O61" s="736">
        <v>6.4799999999999996E-2</v>
      </c>
      <c r="P61" s="713"/>
      <c r="R61" s="714">
        <v>-4</v>
      </c>
      <c r="S61" s="902" t="s">
        <v>604</v>
      </c>
      <c r="T61" s="737"/>
      <c r="U61" s="737"/>
      <c r="V61" s="737"/>
      <c r="W61" s="737"/>
      <c r="X61" s="737"/>
      <c r="Y61" s="737"/>
      <c r="Z61" s="737"/>
      <c r="AA61" s="737"/>
      <c r="AB61" s="737"/>
      <c r="AC61" s="737"/>
      <c r="AD61" s="737"/>
      <c r="AE61" s="737"/>
      <c r="AF61" s="737"/>
      <c r="AG61" s="737"/>
      <c r="AH61" s="737"/>
      <c r="AI61" s="737"/>
      <c r="AJ61" s="737"/>
      <c r="AK61" s="737"/>
      <c r="AL61" s="737"/>
      <c r="AM61" s="737"/>
      <c r="AN61" s="737"/>
      <c r="AO61" s="737"/>
      <c r="AP61" s="737"/>
      <c r="AQ61" s="737"/>
      <c r="AR61" s="715"/>
      <c r="AS61" s="682"/>
      <c r="AT61" s="682"/>
      <c r="AU61" s="733"/>
      <c r="AV61" s="734"/>
      <c r="AX61" s="683"/>
      <c r="BA61" s="702"/>
      <c r="BB61" s="702"/>
      <c r="BC61" s="702"/>
      <c r="BD61" s="702"/>
      <c r="BE61" s="702"/>
      <c r="BF61" s="702"/>
      <c r="BG61" s="702"/>
      <c r="BH61" s="702"/>
      <c r="BI61" s="702"/>
      <c r="BJ61" s="702"/>
      <c r="BK61" s="702"/>
      <c r="BL61" s="702"/>
      <c r="BM61" s="702"/>
      <c r="BN61" s="702"/>
      <c r="BO61" s="702"/>
      <c r="BP61" s="702"/>
      <c r="BQ61" s="702"/>
      <c r="BR61" s="702"/>
      <c r="BS61" s="702"/>
      <c r="BU61" s="623"/>
      <c r="BV61" s="623"/>
      <c r="BW61" s="703"/>
      <c r="BX61" s="703"/>
      <c r="BY61" s="716"/>
      <c r="BZ61" s="703"/>
      <c r="CA61" s="703"/>
      <c r="CB61" s="704"/>
      <c r="CC61" s="704"/>
      <c r="CD61" s="704"/>
      <c r="CE61" s="704"/>
      <c r="CF61" s="704"/>
      <c r="CG61" s="704"/>
      <c r="CH61" s="704"/>
      <c r="CI61" s="704"/>
      <c r="CJ61" s="704"/>
      <c r="CK61" s="704"/>
    </row>
    <row r="62" spans="1:89" ht="12.75" customHeight="1" thickBot="1">
      <c r="B62" s="738"/>
      <c r="C62" s="739"/>
      <c r="D62" s="740" t="s">
        <v>605</v>
      </c>
      <c r="E62" s="741">
        <v>-7</v>
      </c>
      <c r="F62" s="742">
        <v>6.7000000000000004E-2</v>
      </c>
      <c r="G62" s="742"/>
      <c r="H62" s="742">
        <v>2.5000000000000001E-2</v>
      </c>
      <c r="I62" s="743"/>
      <c r="J62" s="742">
        <f t="shared" si="32"/>
        <v>4.2000000000000003E-2</v>
      </c>
      <c r="K62" s="744"/>
      <c r="L62" s="744"/>
      <c r="O62" s="745">
        <v>5.2499999999999998E-2</v>
      </c>
      <c r="P62" s="746"/>
      <c r="Q62" s="718"/>
      <c r="R62" s="714">
        <v>-5</v>
      </c>
      <c r="S62" s="1206" t="s">
        <v>606</v>
      </c>
      <c r="T62" s="1206"/>
      <c r="U62" s="1206"/>
      <c r="V62" s="1206"/>
      <c r="W62" s="1206"/>
      <c r="X62" s="1206"/>
      <c r="Y62" s="1206"/>
      <c r="Z62" s="1206"/>
      <c r="AA62" s="1206"/>
      <c r="AB62" s="1206"/>
      <c r="AC62" s="1206"/>
      <c r="AD62" s="1206"/>
      <c r="AE62" s="1206"/>
      <c r="AF62" s="1206"/>
      <c r="AG62" s="1206"/>
      <c r="AH62" s="1206"/>
      <c r="AI62" s="1206"/>
      <c r="AJ62" s="1206"/>
      <c r="AK62" s="1206"/>
      <c r="AL62" s="1206"/>
      <c r="AM62" s="1206"/>
      <c r="AN62" s="1206"/>
      <c r="AO62" s="1206"/>
      <c r="AP62" s="1206"/>
      <c r="AQ62" s="900"/>
      <c r="AR62" s="901"/>
      <c r="AS62" s="682"/>
      <c r="AT62" s="682"/>
      <c r="AU62" s="734"/>
      <c r="AV62" s="734"/>
      <c r="AX62" s="683"/>
      <c r="BA62" s="702"/>
      <c r="BB62" s="702"/>
      <c r="BC62" s="702"/>
      <c r="BD62" s="702"/>
      <c r="BE62" s="702"/>
      <c r="BF62" s="702"/>
      <c r="BG62" s="702"/>
      <c r="BH62" s="702"/>
      <c r="BI62" s="702"/>
      <c r="BJ62" s="702"/>
      <c r="BK62" s="702"/>
      <c r="BL62" s="702"/>
      <c r="BM62" s="702"/>
      <c r="BN62" s="702"/>
      <c r="BO62" s="702"/>
      <c r="BP62" s="702"/>
      <c r="BQ62" s="702"/>
      <c r="BR62" s="702"/>
      <c r="BS62" s="702"/>
      <c r="BU62" s="623"/>
      <c r="BV62" s="623"/>
      <c r="BW62" s="703"/>
      <c r="BX62" s="703"/>
      <c r="BY62" s="716"/>
      <c r="BZ62" s="703"/>
      <c r="CA62" s="703"/>
      <c r="CB62" s="704"/>
      <c r="CC62" s="704"/>
      <c r="CD62" s="704"/>
      <c r="CE62" s="704"/>
      <c r="CF62" s="704"/>
      <c r="CG62" s="704"/>
      <c r="CH62" s="704"/>
      <c r="CI62" s="704"/>
      <c r="CJ62" s="704"/>
      <c r="CK62" s="704"/>
    </row>
    <row r="63" spans="1:89" ht="12.75" customHeight="1">
      <c r="A63" s="482"/>
      <c r="B63" s="747"/>
      <c r="C63" s="748"/>
      <c r="D63" s="748"/>
      <c r="E63" s="748"/>
      <c r="F63" s="748"/>
      <c r="G63" s="748"/>
      <c r="H63" s="748"/>
      <c r="I63" s="748"/>
      <c r="J63" s="748"/>
      <c r="K63" s="748"/>
      <c r="L63" s="748"/>
      <c r="M63" s="748"/>
      <c r="N63" s="749"/>
      <c r="O63" s="749"/>
      <c r="P63" s="750"/>
      <c r="Q63" s="718"/>
      <c r="R63" s="714"/>
      <c r="S63" s="1206"/>
      <c r="T63" s="1206"/>
      <c r="U63" s="1206"/>
      <c r="V63" s="1206"/>
      <c r="W63" s="1206"/>
      <c r="X63" s="1206"/>
      <c r="Y63" s="1206"/>
      <c r="Z63" s="1206"/>
      <c r="AA63" s="1206"/>
      <c r="AB63" s="1206"/>
      <c r="AC63" s="1206"/>
      <c r="AD63" s="1206"/>
      <c r="AE63" s="1206"/>
      <c r="AF63" s="1206"/>
      <c r="AG63" s="1206"/>
      <c r="AH63" s="1206"/>
      <c r="AI63" s="1206"/>
      <c r="AJ63" s="1206"/>
      <c r="AK63" s="1206"/>
      <c r="AL63" s="1206"/>
      <c r="AM63" s="1206"/>
      <c r="AN63" s="1206"/>
      <c r="AO63" s="1206"/>
      <c r="AP63" s="1206"/>
      <c r="AQ63" s="900"/>
      <c r="AR63" s="901"/>
      <c r="AS63" s="682"/>
      <c r="AT63" s="682"/>
      <c r="AU63" s="751"/>
      <c r="AV63" s="751"/>
      <c r="AW63" s="683"/>
      <c r="AX63" s="683"/>
      <c r="BA63" s="702"/>
      <c r="BB63" s="702"/>
      <c r="BC63" s="702"/>
      <c r="BD63" s="702"/>
      <c r="BE63" s="702"/>
      <c r="BF63" s="702"/>
      <c r="BG63" s="702"/>
      <c r="BH63" s="702"/>
      <c r="BI63" s="702"/>
      <c r="BJ63" s="702"/>
      <c r="BK63" s="702"/>
      <c r="BL63" s="702"/>
      <c r="BM63" s="702"/>
      <c r="BN63" s="702"/>
      <c r="BO63" s="702"/>
      <c r="BP63" s="702"/>
      <c r="BQ63" s="702"/>
      <c r="BR63" s="702"/>
      <c r="BS63" s="702"/>
      <c r="BU63" s="623"/>
      <c r="BV63" s="623"/>
      <c r="BW63" s="703"/>
      <c r="BX63" s="703"/>
      <c r="BY63" s="716"/>
      <c r="BZ63" s="703"/>
      <c r="CA63" s="703"/>
      <c r="CB63" s="704"/>
      <c r="CC63" s="704"/>
      <c r="CD63" s="704"/>
      <c r="CE63" s="704"/>
      <c r="CF63" s="704"/>
      <c r="CG63" s="704"/>
      <c r="CH63" s="704"/>
      <c r="CI63" s="704"/>
      <c r="CJ63" s="704"/>
      <c r="CK63" s="704"/>
    </row>
    <row r="64" spans="1:89" ht="12.75" customHeight="1">
      <c r="A64" s="482"/>
      <c r="B64" s="754"/>
      <c r="C64" s="922"/>
      <c r="D64" s="922"/>
      <c r="E64" s="922"/>
      <c r="F64" s="922"/>
      <c r="G64" s="922"/>
      <c r="H64" s="922"/>
      <c r="I64" s="922"/>
      <c r="J64" s="922"/>
      <c r="K64" s="922"/>
      <c r="L64" s="922"/>
      <c r="M64" s="922"/>
      <c r="N64" s="923"/>
      <c r="O64" s="923"/>
      <c r="P64" s="923"/>
      <c r="Q64" s="718"/>
      <c r="R64" s="714">
        <v>-6</v>
      </c>
      <c r="S64" s="902" t="s">
        <v>607</v>
      </c>
      <c r="T64" s="900"/>
      <c r="U64" s="900"/>
      <c r="V64" s="900"/>
      <c r="W64" s="900"/>
      <c r="X64" s="900"/>
      <c r="Y64" s="900"/>
      <c r="Z64" s="900"/>
      <c r="AA64" s="900"/>
      <c r="AB64" s="900"/>
      <c r="AC64" s="900"/>
      <c r="AD64" s="900"/>
      <c r="AE64" s="900"/>
      <c r="AF64" s="900"/>
      <c r="AG64" s="900"/>
      <c r="AH64" s="900"/>
      <c r="AI64" s="900"/>
      <c r="AJ64" s="900"/>
      <c r="AK64" s="900"/>
      <c r="AL64" s="900"/>
      <c r="AM64" s="900"/>
      <c r="AN64" s="900"/>
      <c r="AO64" s="900"/>
      <c r="AP64" s="900"/>
      <c r="AQ64" s="900"/>
      <c r="AR64" s="752"/>
      <c r="AS64" s="682"/>
      <c r="AT64" s="753"/>
      <c r="AU64" s="751"/>
      <c r="AV64" s="751"/>
      <c r="BA64" s="702"/>
      <c r="BB64" s="702"/>
      <c r="BC64" s="702"/>
      <c r="BD64" s="702"/>
      <c r="BE64" s="702"/>
      <c r="BF64" s="702"/>
      <c r="BG64" s="702"/>
      <c r="BH64" s="702"/>
      <c r="BI64" s="702"/>
      <c r="BJ64" s="702"/>
      <c r="BK64" s="702"/>
      <c r="BL64" s="702"/>
      <c r="BM64" s="702"/>
      <c r="BN64" s="702"/>
      <c r="BO64" s="702"/>
      <c r="BP64" s="702"/>
      <c r="BQ64" s="702"/>
      <c r="BR64" s="702"/>
      <c r="BS64" s="702"/>
      <c r="BY64" s="735"/>
      <c r="CE64" s="704"/>
      <c r="CF64" s="704"/>
      <c r="CG64" s="704"/>
      <c r="CH64" s="704"/>
      <c r="CI64" s="704"/>
      <c r="CJ64" s="704"/>
      <c r="CK64" s="704"/>
    </row>
    <row r="65" spans="1:107" ht="12.75" customHeight="1">
      <c r="A65" s="482"/>
      <c r="B65" s="754"/>
      <c r="C65" s="922"/>
      <c r="D65" s="922"/>
      <c r="E65" s="922"/>
      <c r="F65" s="922"/>
      <c r="G65" s="922"/>
      <c r="H65" s="922"/>
      <c r="I65" s="922"/>
      <c r="J65" s="922"/>
      <c r="K65" s="922"/>
      <c r="L65" s="922"/>
      <c r="M65" s="922"/>
      <c r="N65" s="923"/>
      <c r="O65" s="923"/>
      <c r="P65" s="923"/>
      <c r="Q65" s="718"/>
      <c r="R65" s="714">
        <v>-7</v>
      </c>
      <c r="S65" s="1209" t="s">
        <v>608</v>
      </c>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755"/>
      <c r="AS65" s="753"/>
      <c r="AU65" s="751"/>
      <c r="AV65" s="751"/>
      <c r="AW65" s="756"/>
      <c r="AX65" s="757"/>
      <c r="AY65" s="756"/>
      <c r="BA65" s="702"/>
      <c r="BB65" s="702"/>
      <c r="BC65" s="702"/>
      <c r="BD65" s="702"/>
      <c r="BE65" s="702"/>
      <c r="BF65" s="702"/>
      <c r="BG65" s="702"/>
      <c r="BH65" s="702"/>
      <c r="BI65" s="702"/>
      <c r="BJ65" s="702"/>
      <c r="BK65" s="702"/>
      <c r="BL65" s="702"/>
      <c r="BM65" s="702"/>
      <c r="BN65" s="702"/>
      <c r="BO65" s="702"/>
      <c r="BP65" s="702"/>
      <c r="BQ65" s="702"/>
      <c r="BR65" s="702"/>
      <c r="BS65" s="702"/>
      <c r="BY65" s="735"/>
      <c r="CE65" s="455"/>
      <c r="CF65" s="455"/>
      <c r="CG65" s="455"/>
      <c r="CH65" s="455"/>
      <c r="CI65" s="455"/>
      <c r="CJ65" s="455"/>
      <c r="CK65" s="455"/>
    </row>
    <row r="66" spans="1:107" ht="12.75" customHeight="1">
      <c r="A66" s="482"/>
      <c r="B66" s="754"/>
      <c r="C66" s="922"/>
      <c r="D66" s="922"/>
      <c r="E66" s="922"/>
      <c r="F66" s="922"/>
      <c r="G66" s="922"/>
      <c r="H66" s="922"/>
      <c r="I66" s="922"/>
      <c r="J66" s="922"/>
      <c r="K66" s="922"/>
      <c r="L66" s="922"/>
      <c r="M66" s="922"/>
      <c r="N66" s="923"/>
      <c r="O66" s="923"/>
      <c r="P66" s="923"/>
      <c r="Q66" s="718"/>
      <c r="R66" s="714">
        <v>-8</v>
      </c>
      <c r="S66" s="902" t="s">
        <v>609</v>
      </c>
      <c r="T66" s="902"/>
      <c r="U66" s="902"/>
      <c r="V66" s="902"/>
      <c r="W66" s="902"/>
      <c r="X66" s="902"/>
      <c r="Y66" s="902"/>
      <c r="Z66" s="902"/>
      <c r="AA66" s="902"/>
      <c r="AB66" s="902"/>
      <c r="AC66" s="902"/>
      <c r="AD66" s="902"/>
      <c r="AE66" s="902"/>
      <c r="AF66" s="902"/>
      <c r="AG66" s="902"/>
      <c r="AH66" s="902"/>
      <c r="AI66" s="902"/>
      <c r="AJ66" s="902"/>
      <c r="AK66" s="902"/>
      <c r="AL66" s="902"/>
      <c r="AM66" s="902"/>
      <c r="AN66" s="902"/>
      <c r="AO66" s="902"/>
      <c r="AP66" s="902"/>
      <c r="AQ66" s="902"/>
      <c r="AR66" s="758"/>
      <c r="AU66" s="751"/>
      <c r="AV66" s="751"/>
      <c r="AW66" s="756"/>
      <c r="AX66" s="757"/>
      <c r="AY66" s="756"/>
      <c r="AZ66" s="482"/>
      <c r="BA66" s="702"/>
      <c r="BB66" s="702"/>
      <c r="BC66" s="702"/>
      <c r="BD66" s="702"/>
      <c r="BE66" s="702"/>
      <c r="BF66" s="702"/>
      <c r="BG66" s="702"/>
      <c r="BH66" s="702"/>
      <c r="BI66" s="702"/>
      <c r="BJ66" s="702"/>
      <c r="BK66" s="702"/>
      <c r="BL66" s="702"/>
      <c r="BM66" s="702"/>
      <c r="BN66" s="702"/>
      <c r="BO66" s="702"/>
      <c r="BP66" s="702"/>
      <c r="BQ66" s="702"/>
      <c r="BR66" s="702"/>
      <c r="BS66" s="702"/>
      <c r="BY66" s="735"/>
      <c r="CE66" s="455"/>
      <c r="CF66" s="455"/>
      <c r="CG66" s="455"/>
      <c r="CH66" s="455"/>
      <c r="CI66" s="455"/>
      <c r="CJ66" s="455"/>
      <c r="CK66" s="455"/>
      <c r="CL66" s="455"/>
      <c r="CM66" s="455"/>
      <c r="CN66" s="455"/>
    </row>
    <row r="67" spans="1:107" ht="12.75" customHeight="1" thickBot="1">
      <c r="B67" s="924"/>
      <c r="C67" s="925"/>
      <c r="D67" s="819"/>
      <c r="E67" s="819"/>
      <c r="F67" s="819"/>
      <c r="G67" s="819"/>
      <c r="H67" s="819"/>
      <c r="I67" s="819"/>
      <c r="J67" s="819"/>
      <c r="K67" s="819"/>
      <c r="L67" s="819"/>
      <c r="M67" s="819"/>
      <c r="N67" s="819"/>
      <c r="O67" s="819"/>
      <c r="P67" s="819"/>
      <c r="R67" s="714"/>
      <c r="S67" s="902" t="s">
        <v>610</v>
      </c>
      <c r="T67" s="902"/>
      <c r="U67" s="902"/>
      <c r="V67" s="902"/>
      <c r="W67" s="902"/>
      <c r="X67" s="902"/>
      <c r="Y67" s="902"/>
      <c r="Z67" s="902"/>
      <c r="AA67" s="902"/>
      <c r="AB67" s="902"/>
      <c r="AC67" s="902"/>
      <c r="AD67" s="902"/>
      <c r="AE67" s="902"/>
      <c r="AF67" s="902"/>
      <c r="AG67" s="902"/>
      <c r="AH67" s="902"/>
      <c r="AI67" s="902"/>
      <c r="AJ67" s="902"/>
      <c r="AK67" s="902"/>
      <c r="AL67" s="902"/>
      <c r="AM67" s="902"/>
      <c r="AN67" s="902"/>
      <c r="AO67" s="902"/>
      <c r="AP67" s="902"/>
      <c r="AQ67" s="902"/>
      <c r="AR67" s="758"/>
      <c r="AU67" s="751"/>
      <c r="AV67" s="751"/>
      <c r="AW67" s="756"/>
      <c r="AX67" s="759"/>
      <c r="AY67" s="756"/>
      <c r="AZ67" s="756"/>
      <c r="BA67" s="702"/>
      <c r="BB67" s="702"/>
      <c r="BC67" s="702"/>
      <c r="BD67" s="702"/>
      <c r="BE67" s="702"/>
      <c r="BF67" s="702"/>
      <c r="BG67" s="702"/>
      <c r="BH67" s="702"/>
      <c r="BI67" s="702"/>
      <c r="BJ67" s="702"/>
      <c r="BK67" s="702"/>
      <c r="BL67" s="702"/>
      <c r="BM67" s="702"/>
      <c r="BN67" s="702"/>
      <c r="BO67" s="702"/>
      <c r="BP67" s="702"/>
      <c r="BQ67" s="702"/>
      <c r="BR67" s="702"/>
      <c r="BS67" s="702"/>
      <c r="BY67" s="735"/>
      <c r="CE67" s="455"/>
      <c r="CF67" s="455"/>
      <c r="CG67" s="455"/>
      <c r="CH67" s="455"/>
      <c r="CI67" s="455"/>
      <c r="CJ67" s="455"/>
      <c r="CK67" s="455"/>
      <c r="CL67" s="455"/>
      <c r="CM67" s="455"/>
      <c r="CN67" s="455"/>
      <c r="CO67" s="455"/>
      <c r="CP67" s="455"/>
      <c r="CQ67" s="455"/>
      <c r="CR67" s="455"/>
      <c r="CS67" s="455"/>
      <c r="CT67" s="455"/>
      <c r="CU67" s="455"/>
      <c r="CV67" s="455"/>
      <c r="CW67" s="455"/>
      <c r="CX67" s="455"/>
      <c r="CY67" s="455"/>
      <c r="CZ67" s="455"/>
      <c r="DA67" s="455"/>
      <c r="DB67" s="455"/>
      <c r="DC67" s="455"/>
    </row>
    <row r="68" spans="1:107" ht="14.25" customHeight="1">
      <c r="B68" s="760"/>
      <c r="C68" s="761"/>
      <c r="D68" s="761"/>
      <c r="E68" s="761"/>
      <c r="F68" s="761"/>
      <c r="G68" s="761"/>
      <c r="H68" s="761"/>
      <c r="I68" s="761"/>
      <c r="J68" s="761"/>
      <c r="K68" s="761"/>
      <c r="L68" s="761"/>
      <c r="M68" s="761"/>
      <c r="N68" s="761"/>
      <c r="O68" s="761"/>
      <c r="P68" s="762"/>
      <c r="Q68" s="718"/>
      <c r="R68" s="714">
        <v>-9</v>
      </c>
      <c r="S68" s="902" t="s">
        <v>611</v>
      </c>
      <c r="T68" s="902"/>
      <c r="U68" s="902"/>
      <c r="V68" s="902"/>
      <c r="W68" s="902"/>
      <c r="X68" s="902"/>
      <c r="Y68" s="902"/>
      <c r="Z68" s="902"/>
      <c r="AA68" s="902"/>
      <c r="AB68" s="902"/>
      <c r="AC68" s="902"/>
      <c r="AD68" s="902"/>
      <c r="AE68" s="902"/>
      <c r="AF68" s="902"/>
      <c r="AG68" s="902"/>
      <c r="AH68" s="902"/>
      <c r="AI68" s="902"/>
      <c r="AJ68" s="902"/>
      <c r="AK68" s="902"/>
      <c r="AL68" s="902"/>
      <c r="AM68" s="902"/>
      <c r="AN68" s="902"/>
      <c r="AO68" s="902"/>
      <c r="AP68" s="902"/>
      <c r="AQ68" s="902"/>
      <c r="AR68" s="763"/>
      <c r="AU68" s="751"/>
      <c r="AV68" s="751"/>
      <c r="AW68" s="756"/>
      <c r="AX68" s="756"/>
      <c r="AY68" s="756"/>
      <c r="AZ68" s="756"/>
      <c r="BA68" s="455"/>
      <c r="BB68" s="455"/>
      <c r="BC68" s="455"/>
      <c r="BD68" s="455"/>
      <c r="BE68" s="455"/>
      <c r="BF68" s="455"/>
      <c r="BG68" s="455"/>
      <c r="BH68" s="455"/>
      <c r="BI68" s="455"/>
      <c r="BJ68" s="455"/>
      <c r="BK68" s="455"/>
      <c r="BL68" s="455"/>
      <c r="BM68" s="455"/>
      <c r="BN68" s="455"/>
      <c r="BO68" s="455"/>
      <c r="BP68" s="455"/>
      <c r="BQ68" s="455"/>
      <c r="BR68" s="455"/>
      <c r="BS68" s="455"/>
      <c r="BY68" s="764"/>
      <c r="CE68" s="455"/>
      <c r="CF68" s="455"/>
      <c r="CG68" s="455"/>
      <c r="CH68" s="455"/>
      <c r="CI68" s="455"/>
      <c r="CJ68" s="455"/>
      <c r="CK68" s="455"/>
      <c r="CL68" s="455"/>
      <c r="CM68" s="455"/>
      <c r="CN68" s="455"/>
      <c r="CO68" s="455"/>
      <c r="CP68" s="455"/>
      <c r="CQ68" s="455"/>
      <c r="CR68" s="455"/>
      <c r="CS68" s="455"/>
      <c r="CT68" s="455"/>
      <c r="CU68" s="455"/>
      <c r="CV68" s="455"/>
      <c r="CW68" s="455"/>
      <c r="CX68" s="455"/>
      <c r="CY68" s="455"/>
      <c r="CZ68" s="455"/>
      <c r="DA68" s="455"/>
      <c r="DB68" s="455"/>
      <c r="DC68" s="455"/>
    </row>
    <row r="69" spans="1:107" ht="12.75" customHeight="1">
      <c r="B69" s="1210" t="str">
        <f>"Income year-to-date "&amp;L3</f>
        <v>Income year-to-date as of February 28, 2015</v>
      </c>
      <c r="C69" s="1211"/>
      <c r="D69" s="1211"/>
      <c r="E69" s="1211"/>
      <c r="F69" s="1211"/>
      <c r="G69" s="1211"/>
      <c r="H69" s="1211"/>
      <c r="I69" s="1211"/>
      <c r="J69" s="1211"/>
      <c r="K69" s="1211"/>
      <c r="L69" s="1211"/>
      <c r="M69" s="1211"/>
      <c r="N69" s="1211"/>
      <c r="O69" s="1211"/>
      <c r="P69" s="1212"/>
      <c r="R69" s="765">
        <v>-10</v>
      </c>
      <c r="S69" s="766" t="s">
        <v>612</v>
      </c>
      <c r="T69" s="766"/>
      <c r="U69" s="766"/>
      <c r="V69" s="766"/>
      <c r="W69" s="766"/>
      <c r="X69" s="766"/>
      <c r="Y69" s="766"/>
      <c r="Z69" s="766"/>
      <c r="AA69" s="766"/>
      <c r="AB69" s="766"/>
      <c r="AC69" s="766"/>
      <c r="AD69" s="766"/>
      <c r="AE69" s="766"/>
      <c r="AF69" s="766"/>
      <c r="AG69" s="766"/>
      <c r="AH69" s="766"/>
      <c r="AI69" s="766"/>
      <c r="AJ69" s="766"/>
      <c r="AK69" s="766"/>
      <c r="AL69" s="766"/>
      <c r="AM69" s="766"/>
      <c r="AN69" s="766"/>
      <c r="AO69" s="766"/>
      <c r="AP69" s="766"/>
      <c r="AQ69" s="766"/>
      <c r="AR69" s="767"/>
      <c r="AU69" s="751"/>
      <c r="AV69" s="751"/>
      <c r="AW69" s="756"/>
      <c r="AX69" s="756"/>
      <c r="AY69" s="756"/>
      <c r="AZ69" s="756"/>
      <c r="BA69" s="455"/>
      <c r="BB69" s="455"/>
      <c r="BC69" s="455"/>
      <c r="BD69" s="455"/>
      <c r="BE69" s="455"/>
      <c r="BF69" s="455"/>
      <c r="BG69" s="455"/>
      <c r="BH69" s="455"/>
      <c r="BI69" s="455"/>
      <c r="BJ69" s="455"/>
      <c r="BK69" s="455"/>
      <c r="BL69" s="455"/>
      <c r="BM69" s="455"/>
      <c r="BN69" s="455"/>
      <c r="BO69" s="455"/>
      <c r="BP69" s="455"/>
      <c r="BQ69" s="455"/>
      <c r="BR69" s="455"/>
      <c r="BS69" s="455"/>
      <c r="CE69" s="455"/>
      <c r="CF69" s="455"/>
      <c r="CG69" s="455"/>
      <c r="CH69" s="455"/>
      <c r="CI69" s="455"/>
      <c r="CJ69" s="455"/>
      <c r="CK69" s="455"/>
      <c r="CL69" s="455"/>
      <c r="CM69" s="455"/>
      <c r="CN69" s="455"/>
      <c r="CO69" s="455"/>
      <c r="CP69" s="455"/>
      <c r="CQ69" s="455"/>
      <c r="CR69" s="455"/>
      <c r="CS69" s="455"/>
      <c r="CT69" s="455"/>
      <c r="CU69" s="455"/>
      <c r="CV69" s="455"/>
      <c r="CW69" s="455"/>
      <c r="CX69" s="455"/>
      <c r="CY69" s="455"/>
      <c r="CZ69" s="455"/>
      <c r="DA69" s="455"/>
      <c r="DB69" s="455"/>
      <c r="DC69" s="455"/>
    </row>
    <row r="70" spans="1:107" ht="12.75" customHeight="1" thickBot="1">
      <c r="B70" s="1210"/>
      <c r="C70" s="1211"/>
      <c r="D70" s="1211"/>
      <c r="E70" s="1211"/>
      <c r="F70" s="1211"/>
      <c r="G70" s="1211"/>
      <c r="H70" s="1211"/>
      <c r="I70" s="1211"/>
      <c r="J70" s="1211"/>
      <c r="K70" s="1211"/>
      <c r="L70" s="1211"/>
      <c r="M70" s="1211"/>
      <c r="N70" s="1211"/>
      <c r="O70" s="1211"/>
      <c r="P70" s="1212"/>
      <c r="Q70" s="768"/>
      <c r="R70" s="718"/>
      <c r="S70" s="902"/>
      <c r="T70" s="902"/>
      <c r="U70" s="902"/>
      <c r="V70" s="902"/>
      <c r="W70" s="902"/>
      <c r="X70" s="902"/>
      <c r="Y70" s="902"/>
      <c r="Z70" s="902"/>
      <c r="AA70" s="902"/>
      <c r="AB70" s="902"/>
      <c r="AC70" s="902"/>
      <c r="AD70" s="902"/>
      <c r="AE70" s="902"/>
      <c r="AF70" s="902"/>
      <c r="AG70" s="902"/>
      <c r="AH70" s="902"/>
      <c r="AI70" s="902"/>
      <c r="AJ70" s="902"/>
      <c r="AK70" s="902"/>
      <c r="AL70" s="902"/>
      <c r="AM70" s="902"/>
      <c r="AN70" s="902"/>
      <c r="AO70" s="902"/>
      <c r="AP70" s="902"/>
      <c r="AQ70" s="902"/>
      <c r="AR70" s="769"/>
      <c r="AU70" s="751"/>
      <c r="AV70" s="751"/>
      <c r="AW70" s="756"/>
      <c r="AX70" s="756"/>
      <c r="AY70" s="756"/>
      <c r="AZ70" s="756"/>
      <c r="BA70" s="455"/>
      <c r="BB70" s="455"/>
      <c r="BC70" s="455"/>
      <c r="BD70" s="455"/>
      <c r="BE70" s="455"/>
      <c r="BF70" s="455"/>
      <c r="BG70" s="455"/>
      <c r="BH70" s="455"/>
      <c r="BI70" s="455"/>
      <c r="BJ70" s="455"/>
      <c r="BK70" s="455"/>
      <c r="BL70" s="455"/>
      <c r="BM70" s="455"/>
      <c r="BN70" s="455"/>
      <c r="BO70" s="455"/>
      <c r="BP70" s="455"/>
      <c r="BQ70" s="455"/>
      <c r="BR70" s="455"/>
      <c r="BS70" s="455"/>
      <c r="CE70" s="455"/>
      <c r="CF70" s="455"/>
      <c r="CG70" s="455"/>
      <c r="CH70" s="455"/>
      <c r="CI70" s="455"/>
      <c r="CJ70" s="455"/>
      <c r="CK70" s="455"/>
      <c r="CL70" s="455"/>
      <c r="CM70" s="455"/>
      <c r="CN70" s="455"/>
      <c r="CO70" s="455"/>
      <c r="CP70" s="455"/>
      <c r="CQ70" s="455"/>
      <c r="CR70" s="455"/>
      <c r="CS70" s="455"/>
      <c r="CT70" s="455"/>
      <c r="CU70" s="455"/>
      <c r="CV70" s="455"/>
      <c r="CW70" s="455"/>
      <c r="CX70" s="455"/>
      <c r="CY70" s="455"/>
      <c r="CZ70" s="455"/>
      <c r="DA70" s="455"/>
      <c r="DB70" s="455"/>
      <c r="DC70" s="455"/>
    </row>
    <row r="71" spans="1:107" ht="12.75" customHeight="1" thickTop="1">
      <c r="B71" s="770"/>
      <c r="C71" s="1213" t="str">
        <f>"FY"&amp;B21&amp;" Statutory net income "</f>
        <v xml:space="preserve">FY2015 Statutory net income </v>
      </c>
      <c r="D71" s="1214"/>
      <c r="E71" s="1214"/>
      <c r="F71" s="1214"/>
      <c r="G71" s="1214"/>
      <c r="H71" s="1214"/>
      <c r="I71" s="1214"/>
      <c r="J71" s="1214"/>
      <c r="K71" s="1214"/>
      <c r="L71" s="1214"/>
      <c r="M71" s="1214"/>
      <c r="N71" s="1214"/>
      <c r="O71" s="1215"/>
      <c r="P71" s="771"/>
      <c r="R71" s="772" t="s">
        <v>613</v>
      </c>
      <c r="S71" s="768"/>
      <c r="T71" s="768"/>
      <c r="U71" s="768"/>
      <c r="V71" s="768"/>
      <c r="W71" s="773"/>
      <c r="X71" s="773"/>
      <c r="Y71" s="774" t="s">
        <v>370</v>
      </c>
      <c r="Z71" s="774"/>
      <c r="AA71" s="775" t="s">
        <v>614</v>
      </c>
      <c r="AB71" s="774"/>
      <c r="AC71" s="774" t="s">
        <v>615</v>
      </c>
      <c r="AD71" s="774"/>
      <c r="AE71" s="774" t="s">
        <v>616</v>
      </c>
      <c r="AF71" s="774"/>
      <c r="AG71" s="774"/>
      <c r="AH71" s="774" t="s">
        <v>617</v>
      </c>
      <c r="AI71" s="774"/>
      <c r="AJ71" s="774" t="s">
        <v>614</v>
      </c>
      <c r="AK71" s="774"/>
      <c r="AL71" s="774" t="s">
        <v>618</v>
      </c>
      <c r="AM71" s="774"/>
      <c r="AN71" s="774"/>
      <c r="AO71" s="774"/>
      <c r="AP71" s="774"/>
      <c r="AQ71" s="774"/>
      <c r="AR71" s="773"/>
      <c r="AU71" s="751"/>
      <c r="AV71" s="751"/>
      <c r="AW71" s="776"/>
      <c r="AX71" s="776"/>
      <c r="AY71" s="776"/>
      <c r="AZ71" s="756"/>
      <c r="BA71" s="455"/>
      <c r="BB71" s="455"/>
      <c r="BC71" s="455"/>
      <c r="BD71" s="455"/>
      <c r="BE71" s="455"/>
      <c r="BF71" s="455"/>
      <c r="BG71" s="455"/>
      <c r="BH71" s="455"/>
      <c r="BI71" s="455"/>
      <c r="BJ71" s="455"/>
      <c r="BK71" s="455"/>
      <c r="BL71" s="455"/>
      <c r="BM71" s="455"/>
      <c r="BN71" s="455"/>
      <c r="BO71" s="455"/>
      <c r="BP71" s="455"/>
      <c r="BQ71" s="455"/>
      <c r="BR71" s="455"/>
      <c r="BS71" s="455"/>
      <c r="CE71" s="455"/>
      <c r="CF71" s="455"/>
      <c r="CG71" s="455"/>
      <c r="CH71" s="455"/>
      <c r="CI71" s="455"/>
      <c r="CJ71" s="455"/>
      <c r="CK71" s="455"/>
      <c r="CL71" s="455"/>
      <c r="CM71" s="455"/>
      <c r="CN71" s="455"/>
      <c r="CO71" s="455"/>
      <c r="CP71" s="455"/>
      <c r="CQ71" s="455"/>
      <c r="CR71" s="455"/>
      <c r="CS71" s="455"/>
      <c r="CT71" s="455"/>
      <c r="CU71" s="455"/>
      <c r="CV71" s="455"/>
      <c r="CW71" s="455"/>
      <c r="CX71" s="455"/>
      <c r="CY71" s="455"/>
      <c r="CZ71" s="455"/>
      <c r="DA71" s="455"/>
      <c r="DB71" s="455"/>
      <c r="DC71" s="455"/>
    </row>
    <row r="72" spans="1:107" s="784" customFormat="1" ht="15" customHeight="1" thickBot="1">
      <c r="A72" s="422"/>
      <c r="B72" s="770"/>
      <c r="C72" s="777"/>
      <c r="D72" s="1199" t="s">
        <v>619</v>
      </c>
      <c r="E72" s="1199"/>
      <c r="F72" s="1199"/>
      <c r="G72" s="1199"/>
      <c r="H72" s="1199"/>
      <c r="I72" s="1199"/>
      <c r="J72" s="1199"/>
      <c r="K72" s="1199"/>
      <c r="L72" s="1199"/>
      <c r="M72" s="897"/>
      <c r="N72" s="778" t="s">
        <v>589</v>
      </c>
      <c r="O72" s="779">
        <v>817</v>
      </c>
      <c r="P72" s="780"/>
      <c r="Q72" s="422"/>
      <c r="R72" s="781" t="s">
        <v>620</v>
      </c>
      <c r="S72" s="768"/>
      <c r="T72" s="768"/>
      <c r="U72" s="768"/>
      <c r="V72" s="768"/>
      <c r="W72" s="773"/>
      <c r="X72" s="773"/>
      <c r="Y72" s="774" t="s">
        <v>621</v>
      </c>
      <c r="Z72" s="774"/>
      <c r="AA72" s="775" t="s">
        <v>622</v>
      </c>
      <c r="AB72" s="774"/>
      <c r="AC72" s="774" t="s">
        <v>623</v>
      </c>
      <c r="AD72" s="774"/>
      <c r="AE72" s="774" t="s">
        <v>623</v>
      </c>
      <c r="AF72" s="774"/>
      <c r="AG72" s="774"/>
      <c r="AH72" s="774" t="s">
        <v>622</v>
      </c>
      <c r="AI72" s="774"/>
      <c r="AJ72" s="774" t="s">
        <v>624</v>
      </c>
      <c r="AK72" s="774"/>
      <c r="AL72" s="774" t="s">
        <v>624</v>
      </c>
      <c r="AM72" s="774"/>
      <c r="AN72" s="774"/>
      <c r="AO72" s="774"/>
      <c r="AP72" s="774"/>
      <c r="AQ72" s="774"/>
      <c r="AR72" s="782"/>
      <c r="AS72" s="482"/>
      <c r="AT72" s="482"/>
      <c r="AU72" s="783"/>
      <c r="AV72" s="783"/>
      <c r="AW72" s="776"/>
      <c r="AX72" s="776"/>
      <c r="AY72" s="776"/>
      <c r="AZ72" s="776"/>
      <c r="BA72" s="905"/>
      <c r="BB72" s="905"/>
      <c r="BC72" s="905"/>
      <c r="BD72" s="905"/>
      <c r="BE72" s="905"/>
      <c r="BF72" s="905"/>
      <c r="BG72" s="905"/>
      <c r="BH72" s="905"/>
      <c r="BI72" s="905"/>
      <c r="BJ72" s="905"/>
      <c r="BK72" s="905"/>
      <c r="BL72" s="905"/>
      <c r="BM72" s="905"/>
      <c r="BN72" s="905"/>
      <c r="BO72" s="905"/>
      <c r="BP72" s="905"/>
      <c r="BQ72" s="905"/>
      <c r="BR72" s="905"/>
      <c r="BS72" s="905"/>
      <c r="CE72" s="905"/>
      <c r="CF72" s="905"/>
      <c r="CG72" s="905"/>
      <c r="CH72" s="905"/>
      <c r="CI72" s="905"/>
      <c r="CJ72" s="905"/>
      <c r="CK72" s="905"/>
      <c r="CL72" s="905"/>
      <c r="CM72" s="905"/>
      <c r="CN72" s="905"/>
      <c r="CO72" s="905"/>
      <c r="CP72" s="905"/>
      <c r="CQ72" s="905"/>
      <c r="CR72" s="905"/>
      <c r="CS72" s="905"/>
      <c r="CT72" s="905"/>
      <c r="CU72" s="905"/>
      <c r="CV72" s="905"/>
      <c r="CW72" s="905"/>
      <c r="CX72" s="905"/>
      <c r="CY72" s="905"/>
      <c r="CZ72" s="905"/>
      <c r="DA72" s="905"/>
      <c r="DB72" s="905"/>
      <c r="DC72" s="905"/>
    </row>
    <row r="73" spans="1:107" ht="12.75" customHeight="1">
      <c r="B73" s="785"/>
      <c r="C73" s="777"/>
      <c r="D73" s="1199" t="s">
        <v>625</v>
      </c>
      <c r="E73" s="1199"/>
      <c r="F73" s="1199"/>
      <c r="G73" s="1199"/>
      <c r="H73" s="1199"/>
      <c r="I73" s="1199"/>
      <c r="J73" s="1199"/>
      <c r="K73" s="1199"/>
      <c r="L73" s="1199"/>
      <c r="M73" s="1199"/>
      <c r="N73" s="1199"/>
      <c r="O73" s="779">
        <v>1886.0365332299998</v>
      </c>
      <c r="P73" s="786"/>
      <c r="R73" s="787" t="s">
        <v>626</v>
      </c>
      <c r="S73" s="788"/>
      <c r="T73" s="789"/>
      <c r="U73" s="789"/>
      <c r="V73" s="789"/>
      <c r="W73" s="789"/>
      <c r="X73" s="789"/>
      <c r="Y73" s="790">
        <v>-6.9999999999999999E-4</v>
      </c>
      <c r="Z73" s="790"/>
      <c r="AA73" s="790">
        <v>1.9800000000000002E-2</v>
      </c>
      <c r="AB73" s="790"/>
      <c r="AC73" s="790">
        <v>3.0300000000000001E-2</v>
      </c>
      <c r="AD73" s="790"/>
      <c r="AE73" s="790">
        <v>1.9800000000000002E-2</v>
      </c>
      <c r="AF73" s="790"/>
      <c r="AG73" s="790"/>
      <c r="AH73" s="790">
        <v>-2.0000000000000001E-4</v>
      </c>
      <c r="AI73" s="790"/>
      <c r="AJ73" s="790">
        <v>4.4299999999999999E-2</v>
      </c>
      <c r="AK73" s="790"/>
      <c r="AL73" s="791">
        <v>6.54E-2</v>
      </c>
      <c r="AM73" s="792"/>
      <c r="AN73" s="792"/>
      <c r="AO73" s="792"/>
      <c r="AP73" s="792"/>
      <c r="AQ73" s="792"/>
      <c r="AR73" s="793"/>
      <c r="AS73" s="794"/>
      <c r="AT73" s="794"/>
      <c r="AU73" s="751"/>
      <c r="AV73" s="751"/>
      <c r="AW73" s="776"/>
      <c r="AX73" s="776"/>
      <c r="AY73" s="776"/>
      <c r="AZ73" s="776"/>
      <c r="BA73" s="455"/>
      <c r="BB73" s="455"/>
      <c r="BC73" s="455"/>
      <c r="BD73" s="455"/>
      <c r="BE73" s="455"/>
      <c r="BF73" s="455"/>
      <c r="BG73" s="455"/>
      <c r="BH73" s="455"/>
      <c r="BI73" s="455"/>
      <c r="BJ73" s="455"/>
      <c r="BK73" s="455"/>
      <c r="BL73" s="455"/>
      <c r="BM73" s="455"/>
      <c r="BN73" s="455"/>
      <c r="BO73" s="455"/>
      <c r="BP73" s="455"/>
      <c r="BQ73" s="455"/>
      <c r="BR73" s="455"/>
      <c r="BS73" s="455"/>
      <c r="CE73" s="455"/>
      <c r="CF73" s="455"/>
      <c r="CG73" s="455"/>
      <c r="CH73" s="455"/>
      <c r="CI73" s="455"/>
      <c r="CJ73" s="455"/>
      <c r="CK73" s="455"/>
      <c r="CL73" s="455"/>
      <c r="CM73" s="455"/>
      <c r="CN73" s="455"/>
      <c r="CO73" s="455"/>
      <c r="CP73" s="455"/>
      <c r="CQ73" s="455"/>
      <c r="CR73" s="455"/>
      <c r="CS73" s="455"/>
      <c r="CT73" s="455"/>
      <c r="CU73" s="455"/>
      <c r="CV73" s="455"/>
      <c r="CW73" s="455"/>
      <c r="CX73" s="455"/>
      <c r="CY73" s="455"/>
      <c r="CZ73" s="455"/>
      <c r="DA73" s="455"/>
      <c r="DB73" s="455"/>
      <c r="DC73" s="455"/>
    </row>
    <row r="74" spans="1:107" ht="12.75" customHeight="1">
      <c r="B74" s="785"/>
      <c r="C74" s="777"/>
      <c r="D74" s="1199" t="s">
        <v>627</v>
      </c>
      <c r="E74" s="1199"/>
      <c r="F74" s="1199"/>
      <c r="G74" s="1199"/>
      <c r="H74" s="1199"/>
      <c r="I74" s="1199"/>
      <c r="J74" s="1199"/>
      <c r="K74" s="1199"/>
      <c r="L74" s="1199"/>
      <c r="M74" s="897"/>
      <c r="N74" s="795"/>
      <c r="O74" s="779">
        <v>-82.6</v>
      </c>
      <c r="P74" s="786"/>
      <c r="R74" s="796" t="s">
        <v>628</v>
      </c>
      <c r="S74" s="797"/>
      <c r="T74" s="798"/>
      <c r="U74" s="798"/>
      <c r="V74" s="798"/>
      <c r="W74" s="798"/>
      <c r="X74" s="798"/>
      <c r="Y74" s="799">
        <v>3.2000000000000002E-3</v>
      </c>
      <c r="Z74" s="799"/>
      <c r="AA74" s="799">
        <v>2.06E-2</v>
      </c>
      <c r="AB74" s="799"/>
      <c r="AC74" s="799">
        <v>3.2500000000000001E-2</v>
      </c>
      <c r="AD74" s="799"/>
      <c r="AE74" s="799">
        <v>2.06E-2</v>
      </c>
      <c r="AF74" s="799"/>
      <c r="AG74" s="799"/>
      <c r="AH74" s="799">
        <v>1.18E-2</v>
      </c>
      <c r="AI74" s="799"/>
      <c r="AJ74" s="799">
        <v>4.3499999999999997E-2</v>
      </c>
      <c r="AK74" s="799"/>
      <c r="AL74" s="800">
        <v>4.6100000000000002E-2</v>
      </c>
      <c r="AM74" s="792"/>
      <c r="AN74" s="792"/>
      <c r="AO74" s="792"/>
      <c r="AP74" s="792"/>
      <c r="AQ74" s="792"/>
      <c r="AR74" s="801"/>
      <c r="AS74" s="482"/>
      <c r="AT74" s="482"/>
      <c r="AU74" s="751"/>
      <c r="AV74" s="751"/>
      <c r="AW74" s="802"/>
      <c r="AX74" s="802"/>
      <c r="AY74" s="802"/>
      <c r="AZ74" s="776"/>
      <c r="BA74" s="455"/>
      <c r="BB74" s="455"/>
      <c r="BC74" s="455"/>
      <c r="BD74" s="455"/>
      <c r="BE74" s="455"/>
      <c r="BF74" s="455"/>
      <c r="BG74" s="455"/>
      <c r="BH74" s="455"/>
      <c r="BI74" s="455"/>
      <c r="BJ74" s="455"/>
      <c r="BK74" s="455"/>
      <c r="BL74" s="455"/>
      <c r="BM74" s="455"/>
      <c r="BN74" s="455"/>
      <c r="BO74" s="455"/>
      <c r="BP74" s="455"/>
      <c r="BQ74" s="455"/>
      <c r="BR74" s="455"/>
      <c r="BS74" s="455"/>
      <c r="CE74" s="455"/>
      <c r="CF74" s="455"/>
      <c r="CG74" s="455"/>
      <c r="CH74" s="455"/>
      <c r="CI74" s="455"/>
      <c r="CJ74" s="455"/>
      <c r="CK74" s="455"/>
      <c r="CL74" s="455"/>
      <c r="CM74" s="455"/>
      <c r="CN74" s="455"/>
      <c r="CO74" s="455"/>
      <c r="CP74" s="455"/>
      <c r="CQ74" s="455"/>
      <c r="CR74" s="455"/>
      <c r="CS74" s="455"/>
      <c r="CT74" s="455"/>
      <c r="CU74" s="455"/>
      <c r="CV74" s="455"/>
      <c r="CW74" s="455"/>
      <c r="CX74" s="455"/>
      <c r="CY74" s="455"/>
      <c r="CZ74" s="455"/>
      <c r="DA74" s="455"/>
      <c r="DB74" s="455"/>
      <c r="DC74" s="455"/>
    </row>
    <row r="75" spans="1:107" ht="12.75" customHeight="1">
      <c r="A75" s="784"/>
      <c r="B75" s="803"/>
      <c r="C75" s="777"/>
      <c r="D75" s="1199" t="s">
        <v>629</v>
      </c>
      <c r="E75" s="1199"/>
      <c r="F75" s="1199"/>
      <c r="G75" s="1199"/>
      <c r="H75" s="1199"/>
      <c r="I75" s="1199"/>
      <c r="J75" s="1199"/>
      <c r="K75" s="1199"/>
      <c r="L75" s="1199"/>
      <c r="M75" s="1199"/>
      <c r="N75" s="1199"/>
      <c r="O75" s="804">
        <v>-23.509780449471872</v>
      </c>
      <c r="P75" s="786"/>
      <c r="Q75" s="768"/>
      <c r="R75" s="796" t="s">
        <v>630</v>
      </c>
      <c r="S75" s="797"/>
      <c r="T75" s="798"/>
      <c r="U75" s="798"/>
      <c r="V75" s="798"/>
      <c r="W75" s="798"/>
      <c r="X75" s="798"/>
      <c r="Y75" s="799">
        <v>-3.3999999999999998E-3</v>
      </c>
      <c r="Z75" s="799"/>
      <c r="AA75" s="799">
        <v>1.7500000000000002E-2</v>
      </c>
      <c r="AB75" s="799"/>
      <c r="AC75" s="799">
        <v>0.21879999999999999</v>
      </c>
      <c r="AD75" s="799"/>
      <c r="AE75" s="799">
        <v>1.7500000000000002E-2</v>
      </c>
      <c r="AF75" s="799"/>
      <c r="AG75" s="799"/>
      <c r="AH75" s="799">
        <v>0.25340000000000001</v>
      </c>
      <c r="AI75" s="799"/>
      <c r="AJ75" s="799">
        <v>0.15160000000000001</v>
      </c>
      <c r="AK75" s="799"/>
      <c r="AL75" s="800">
        <v>0.22589999999999999</v>
      </c>
      <c r="AM75" s="792"/>
      <c r="AN75" s="792"/>
      <c r="AO75" s="792"/>
      <c r="AP75" s="792"/>
      <c r="AQ75" s="792"/>
      <c r="AR75" s="801"/>
      <c r="AS75" s="482"/>
      <c r="AT75" s="482"/>
      <c r="AU75" s="751"/>
      <c r="AV75" s="751"/>
      <c r="AW75" s="802"/>
      <c r="AX75" s="802"/>
      <c r="AY75" s="802"/>
      <c r="AZ75" s="776"/>
      <c r="BA75" s="455"/>
      <c r="BB75" s="455"/>
      <c r="BC75" s="455"/>
      <c r="BD75" s="455"/>
      <c r="BE75" s="455"/>
      <c r="BF75" s="455"/>
      <c r="BG75" s="455"/>
      <c r="BH75" s="455"/>
      <c r="BI75" s="455"/>
      <c r="BJ75" s="455"/>
      <c r="BK75" s="455"/>
      <c r="BL75" s="455"/>
      <c r="BM75" s="455"/>
      <c r="BN75" s="455"/>
      <c r="BO75" s="455"/>
      <c r="BP75" s="455"/>
      <c r="BQ75" s="455"/>
      <c r="BR75" s="455"/>
      <c r="BS75" s="455"/>
      <c r="CE75" s="455"/>
      <c r="CF75" s="455"/>
      <c r="CG75" s="455"/>
      <c r="CH75" s="455"/>
      <c r="CI75" s="455"/>
      <c r="CJ75" s="455"/>
      <c r="CK75" s="455"/>
      <c r="CL75" s="455"/>
      <c r="CM75" s="455"/>
      <c r="CN75" s="455"/>
      <c r="CO75" s="455"/>
      <c r="CP75" s="455"/>
      <c r="CQ75" s="455"/>
      <c r="CR75" s="455"/>
      <c r="CS75" s="455"/>
      <c r="CT75" s="455"/>
      <c r="CU75" s="455"/>
      <c r="CV75" s="455"/>
      <c r="CW75" s="455"/>
      <c r="CX75" s="455"/>
      <c r="CY75" s="455"/>
      <c r="CZ75" s="455"/>
      <c r="DA75" s="455"/>
      <c r="DB75" s="455"/>
      <c r="DC75" s="455"/>
    </row>
    <row r="76" spans="1:107" ht="12.75" customHeight="1" thickBot="1">
      <c r="B76" s="803"/>
      <c r="C76" s="805"/>
      <c r="D76" s="806"/>
      <c r="E76" s="806"/>
      <c r="F76" s="807" t="s">
        <v>631</v>
      </c>
      <c r="G76" s="808"/>
      <c r="H76" s="808"/>
      <c r="I76" s="808"/>
      <c r="J76" s="808"/>
      <c r="K76" s="808"/>
      <c r="L76" s="808"/>
      <c r="M76" s="808"/>
      <c r="N76" s="809" t="s">
        <v>589</v>
      </c>
      <c r="O76" s="810">
        <v>2596.8999999999996</v>
      </c>
      <c r="P76" s="786"/>
      <c r="Q76" s="768"/>
      <c r="R76" s="796" t="s">
        <v>632</v>
      </c>
      <c r="S76" s="797"/>
      <c r="T76" s="798"/>
      <c r="U76" s="798"/>
      <c r="V76" s="798"/>
      <c r="W76" s="798"/>
      <c r="X76" s="798"/>
      <c r="Y76" s="799">
        <v>6.8999999999999999E-3</v>
      </c>
      <c r="Z76" s="799"/>
      <c r="AA76" s="799">
        <v>7.3000000000000001E-3</v>
      </c>
      <c r="AB76" s="799"/>
      <c r="AC76" s="799">
        <v>0.14610000000000001</v>
      </c>
      <c r="AD76" s="799"/>
      <c r="AE76" s="799">
        <v>7.3000000000000001E-3</v>
      </c>
      <c r="AF76" s="799"/>
      <c r="AG76" s="799"/>
      <c r="AH76" s="799">
        <v>9.7199999999999995E-2</v>
      </c>
      <c r="AI76" s="799"/>
      <c r="AJ76" s="799">
        <v>3.3599999999999998E-2</v>
      </c>
      <c r="AK76" s="799"/>
      <c r="AL76" s="800">
        <v>0.14879999999999999</v>
      </c>
      <c r="AM76" s="792"/>
      <c r="AN76" s="792"/>
      <c r="AO76" s="792"/>
      <c r="AP76" s="792"/>
      <c r="AQ76" s="792"/>
      <c r="AR76" s="801"/>
      <c r="AS76" s="482"/>
      <c r="AT76" s="482"/>
      <c r="AU76" s="751"/>
      <c r="AV76" s="751"/>
      <c r="AW76" s="802"/>
      <c r="AX76" s="802"/>
      <c r="AY76" s="802"/>
      <c r="AZ76" s="776"/>
      <c r="BA76" s="455"/>
      <c r="BB76" s="455"/>
      <c r="BC76" s="455"/>
      <c r="BD76" s="455"/>
      <c r="BE76" s="455"/>
      <c r="BF76" s="455"/>
      <c r="BG76" s="455"/>
      <c r="BH76" s="455"/>
      <c r="BI76" s="455"/>
      <c r="BJ76" s="455"/>
      <c r="BK76" s="455"/>
      <c r="BL76" s="455"/>
      <c r="BM76" s="455"/>
      <c r="BN76" s="455"/>
      <c r="BO76" s="455"/>
      <c r="BP76" s="455"/>
      <c r="BQ76" s="455"/>
      <c r="BR76" s="455"/>
      <c r="BS76" s="455"/>
      <c r="CE76" s="455"/>
      <c r="CF76" s="455"/>
      <c r="CG76" s="455"/>
      <c r="CH76" s="455"/>
      <c r="CI76" s="455"/>
      <c r="CJ76" s="455"/>
      <c r="CK76" s="455"/>
      <c r="CL76" s="455"/>
      <c r="CM76" s="455"/>
      <c r="CN76" s="455"/>
      <c r="CO76" s="455"/>
      <c r="CP76" s="455"/>
      <c r="CQ76" s="455"/>
      <c r="CR76" s="455"/>
      <c r="CS76" s="455"/>
      <c r="CT76" s="455"/>
      <c r="CU76" s="455"/>
      <c r="CV76" s="455"/>
      <c r="CW76" s="455"/>
      <c r="CX76" s="455"/>
      <c r="CY76" s="455"/>
      <c r="CZ76" s="455"/>
      <c r="DA76" s="455"/>
      <c r="DB76" s="455"/>
      <c r="DC76" s="455"/>
    </row>
    <row r="77" spans="1:107" ht="12.75" customHeight="1" thickTop="1">
      <c r="B77" s="803"/>
      <c r="C77" s="811"/>
      <c r="D77" s="795"/>
      <c r="E77" s="795"/>
      <c r="F77" s="812"/>
      <c r="G77" s="813"/>
      <c r="H77" s="813"/>
      <c r="I77" s="813"/>
      <c r="J77" s="813"/>
      <c r="K77" s="813"/>
      <c r="L77" s="813"/>
      <c r="M77" s="813"/>
      <c r="N77" s="814"/>
      <c r="O77" s="815"/>
      <c r="P77" s="786"/>
      <c r="Q77" s="768"/>
      <c r="R77" s="796" t="s">
        <v>633</v>
      </c>
      <c r="S77" s="797"/>
      <c r="T77" s="798"/>
      <c r="U77" s="798"/>
      <c r="V77" s="798"/>
      <c r="W77" s="798"/>
      <c r="X77" s="798"/>
      <c r="Y77" s="799">
        <v>4.0000000000000001E-3</v>
      </c>
      <c r="Z77" s="799"/>
      <c r="AA77" s="799">
        <v>1.8499999999999999E-2</v>
      </c>
      <c r="AB77" s="799"/>
      <c r="AC77" s="799">
        <v>0.19159999999999999</v>
      </c>
      <c r="AD77" s="799"/>
      <c r="AE77" s="799">
        <v>1.8499999999999999E-2</v>
      </c>
      <c r="AF77" s="799"/>
      <c r="AG77" s="799"/>
      <c r="AH77" s="799">
        <v>0.1996</v>
      </c>
      <c r="AI77" s="799"/>
      <c r="AJ77" s="799">
        <v>0.1125</v>
      </c>
      <c r="AK77" s="799"/>
      <c r="AL77" s="800">
        <v>0.18859999999999999</v>
      </c>
      <c r="AM77" s="792"/>
      <c r="AN77" s="792"/>
      <c r="AO77" s="792"/>
      <c r="AP77" s="792"/>
      <c r="AQ77" s="792"/>
      <c r="AR77" s="801"/>
      <c r="AS77" s="482"/>
      <c r="AT77" s="482"/>
      <c r="AU77" s="751"/>
      <c r="AV77" s="751"/>
      <c r="AW77" s="816"/>
      <c r="AX77" s="817"/>
      <c r="AY77" s="817"/>
      <c r="AZ77" s="802"/>
      <c r="BA77" s="455"/>
      <c r="BB77" s="455"/>
      <c r="BC77" s="455"/>
      <c r="BD77" s="455"/>
      <c r="BE77" s="455"/>
      <c r="BF77" s="455"/>
      <c r="BG77" s="455"/>
      <c r="BH77" s="455"/>
      <c r="BI77" s="455"/>
      <c r="BJ77" s="455"/>
      <c r="BK77" s="455"/>
      <c r="BL77" s="455"/>
      <c r="BM77" s="455"/>
      <c r="BN77" s="455"/>
      <c r="BO77" s="455"/>
      <c r="BP77" s="455"/>
      <c r="BQ77" s="455"/>
      <c r="BR77" s="455"/>
      <c r="BS77" s="455"/>
      <c r="CB77" s="735"/>
      <c r="CE77" s="455"/>
      <c r="CF77" s="455"/>
      <c r="CG77" s="455"/>
      <c r="CH77" s="455"/>
      <c r="CI77" s="455"/>
      <c r="CJ77" s="455"/>
      <c r="CK77" s="455"/>
      <c r="CL77" s="455"/>
      <c r="CM77" s="455"/>
      <c r="CN77" s="455"/>
      <c r="CO77" s="455"/>
      <c r="CP77" s="455"/>
      <c r="CQ77" s="455"/>
      <c r="CR77" s="455"/>
      <c r="CS77" s="455"/>
      <c r="CT77" s="455"/>
      <c r="CU77" s="455"/>
      <c r="CV77" s="455"/>
      <c r="CW77" s="455"/>
      <c r="CX77" s="455"/>
      <c r="CY77" s="455"/>
      <c r="CZ77" s="455"/>
      <c r="DA77" s="455"/>
      <c r="DB77" s="455"/>
      <c r="DC77" s="455"/>
    </row>
    <row r="78" spans="1:107" ht="12.75" customHeight="1" thickBot="1">
      <c r="B78" s="818"/>
      <c r="C78" s="819"/>
      <c r="D78" s="819"/>
      <c r="E78" s="819"/>
      <c r="F78" s="819"/>
      <c r="G78" s="819"/>
      <c r="H78" s="819"/>
      <c r="I78" s="819"/>
      <c r="J78" s="819"/>
      <c r="K78" s="819"/>
      <c r="L78" s="819"/>
      <c r="M78" s="819"/>
      <c r="N78" s="819"/>
      <c r="O78" s="819"/>
      <c r="P78" s="820"/>
      <c r="Q78" s="768"/>
      <c r="R78" s="796" t="s">
        <v>634</v>
      </c>
      <c r="S78" s="797"/>
      <c r="T78" s="798"/>
      <c r="U78" s="798"/>
      <c r="V78" s="798"/>
      <c r="W78" s="798"/>
      <c r="X78" s="798"/>
      <c r="Y78" s="799">
        <v>4.0999999999999925E-3</v>
      </c>
      <c r="Z78" s="799"/>
      <c r="AA78" s="799">
        <v>6.6094810602201903E-3</v>
      </c>
      <c r="AB78" s="799"/>
      <c r="AC78" s="799">
        <v>5.0048706605892779E-2</v>
      </c>
      <c r="AD78" s="799"/>
      <c r="AE78" s="799">
        <v>6.6094810602201903E-3</v>
      </c>
      <c r="AF78" s="799"/>
      <c r="AG78" s="799"/>
      <c r="AH78" s="799">
        <v>7.9870089873500083E-2</v>
      </c>
      <c r="AI78" s="799"/>
      <c r="AJ78" s="799">
        <v>0.10158664603092604</v>
      </c>
      <c r="AK78" s="799"/>
      <c r="AL78" s="800">
        <v>7.9236738208136925E-2</v>
      </c>
      <c r="AM78" s="821"/>
      <c r="AN78" s="792"/>
      <c r="AO78" s="792"/>
      <c r="AP78" s="792"/>
      <c r="AQ78" s="792"/>
      <c r="AR78" s="801"/>
      <c r="AS78" s="482"/>
      <c r="AT78" s="482"/>
      <c r="AU78" s="751"/>
      <c r="AV78" s="751"/>
      <c r="AW78" s="816"/>
      <c r="AX78" s="817"/>
      <c r="AY78" s="817"/>
      <c r="AZ78" s="817"/>
      <c r="BA78" s="455"/>
      <c r="BB78" s="455"/>
      <c r="BC78" s="455"/>
      <c r="BD78" s="455"/>
      <c r="BE78" s="455"/>
      <c r="BF78" s="455"/>
      <c r="BG78" s="455"/>
      <c r="BH78" s="455"/>
      <c r="BI78" s="455"/>
      <c r="BJ78" s="455"/>
      <c r="BK78" s="455"/>
      <c r="BL78" s="455"/>
      <c r="BM78" s="455"/>
      <c r="BN78" s="455"/>
      <c r="BO78" s="455"/>
      <c r="BP78" s="455"/>
      <c r="BQ78" s="455"/>
      <c r="BR78" s="455"/>
      <c r="BS78" s="455"/>
      <c r="CE78" s="455"/>
      <c r="CF78" s="455"/>
      <c r="CG78" s="455"/>
      <c r="CH78" s="455"/>
      <c r="CI78" s="455"/>
      <c r="CJ78" s="455"/>
      <c r="CK78" s="455"/>
      <c r="CL78" s="455"/>
      <c r="CM78" s="455"/>
      <c r="CN78" s="455"/>
      <c r="CO78" s="455"/>
      <c r="CP78" s="455"/>
      <c r="CQ78" s="455"/>
      <c r="CR78" s="455"/>
      <c r="CS78" s="455"/>
      <c r="CT78" s="455"/>
      <c r="CU78" s="455"/>
      <c r="CV78" s="455"/>
      <c r="CW78" s="455"/>
      <c r="CX78" s="455"/>
      <c r="CY78" s="455"/>
      <c r="CZ78" s="455"/>
      <c r="DA78" s="455"/>
      <c r="DB78" s="455"/>
      <c r="DC78" s="455"/>
    </row>
    <row r="79" spans="1:107" ht="14.25" customHeight="1" thickTop="1">
      <c r="B79" s="818"/>
      <c r="C79" s="1213" t="str">
        <f>"FY"&amp;B21&amp;" Accounting (GAAP) net income "</f>
        <v xml:space="preserve">FY2015 Accounting (GAAP) net income </v>
      </c>
      <c r="D79" s="1214"/>
      <c r="E79" s="1214"/>
      <c r="F79" s="1214"/>
      <c r="G79" s="1214"/>
      <c r="H79" s="1214"/>
      <c r="I79" s="1214"/>
      <c r="J79" s="1214"/>
      <c r="K79" s="1214"/>
      <c r="L79" s="1214"/>
      <c r="M79" s="1214"/>
      <c r="N79" s="1214"/>
      <c r="O79" s="1215"/>
      <c r="P79" s="820"/>
      <c r="Q79" s="768"/>
      <c r="R79" s="796" t="s">
        <v>635</v>
      </c>
      <c r="S79" s="797"/>
      <c r="T79" s="798"/>
      <c r="U79" s="798"/>
      <c r="V79" s="798"/>
      <c r="W79" s="798"/>
      <c r="X79" s="798"/>
      <c r="Y79" s="799" t="s">
        <v>636</v>
      </c>
      <c r="Z79" s="799"/>
      <c r="AA79" s="799" t="s">
        <v>636</v>
      </c>
      <c r="AB79" s="799"/>
      <c r="AC79" s="799">
        <v>0.10970000000000001</v>
      </c>
      <c r="AD79" s="799"/>
      <c r="AE79" s="799" t="s">
        <v>636</v>
      </c>
      <c r="AF79" s="799"/>
      <c r="AG79" s="799"/>
      <c r="AH79" s="799">
        <v>0.16200000000000001</v>
      </c>
      <c r="AI79" s="799"/>
      <c r="AJ79" s="799">
        <v>0.1396</v>
      </c>
      <c r="AK79" s="799"/>
      <c r="AL79" s="800">
        <v>0.1283</v>
      </c>
      <c r="AM79" s="792"/>
      <c r="AN79" s="792"/>
      <c r="AO79" s="792"/>
      <c r="AP79" s="792"/>
      <c r="AQ79" s="792"/>
      <c r="AR79" s="801"/>
      <c r="AS79" s="482"/>
      <c r="AT79" s="482"/>
      <c r="AU79" s="751"/>
      <c r="AV79" s="751"/>
      <c r="AW79" s="816"/>
      <c r="AX79" s="817"/>
      <c r="AY79" s="817"/>
      <c r="AZ79" s="817"/>
      <c r="BA79" s="455"/>
      <c r="BB79" s="455"/>
      <c r="BC79" s="455"/>
      <c r="BD79" s="455"/>
      <c r="BE79" s="455"/>
      <c r="BF79" s="455"/>
      <c r="BG79" s="455"/>
      <c r="BH79" s="455"/>
      <c r="BI79" s="455"/>
      <c r="BJ79" s="455"/>
      <c r="BK79" s="455"/>
      <c r="BL79" s="455"/>
      <c r="BM79" s="455"/>
      <c r="BN79" s="455"/>
      <c r="BO79" s="455"/>
      <c r="BP79" s="455"/>
      <c r="BQ79" s="455"/>
      <c r="BR79" s="455"/>
      <c r="BS79" s="455"/>
      <c r="CE79" s="455"/>
      <c r="CF79" s="455"/>
      <c r="CG79" s="455"/>
      <c r="CH79" s="455"/>
      <c r="CI79" s="455"/>
      <c r="CJ79" s="455"/>
      <c r="CK79" s="455"/>
      <c r="CL79" s="455"/>
      <c r="CM79" s="455"/>
      <c r="CN79" s="455"/>
      <c r="CO79" s="455"/>
      <c r="CP79" s="455"/>
      <c r="CQ79" s="455"/>
      <c r="CR79" s="455"/>
      <c r="CS79" s="455"/>
      <c r="CT79" s="455"/>
      <c r="CU79" s="455"/>
      <c r="CV79" s="455"/>
      <c r="CW79" s="455"/>
      <c r="CX79" s="455"/>
      <c r="CY79" s="455"/>
      <c r="CZ79" s="455"/>
      <c r="DA79" s="455"/>
      <c r="DB79" s="455"/>
      <c r="DC79" s="455"/>
    </row>
    <row r="80" spans="1:107" ht="12.75" customHeight="1">
      <c r="B80" s="818"/>
      <c r="C80" s="822"/>
      <c r="D80" s="1199" t="s">
        <v>631</v>
      </c>
      <c r="E80" s="1199"/>
      <c r="F80" s="1199"/>
      <c r="G80" s="1199"/>
      <c r="H80" s="1199"/>
      <c r="I80" s="1199"/>
      <c r="J80" s="1199"/>
      <c r="K80" s="1199"/>
      <c r="L80" s="1199"/>
      <c r="M80" s="897"/>
      <c r="N80" s="778" t="s">
        <v>589</v>
      </c>
      <c r="O80" s="779">
        <f>O76</f>
        <v>2596.8999999999996</v>
      </c>
      <c r="P80" s="820"/>
      <c r="Q80" s="768"/>
      <c r="R80" s="796" t="s">
        <v>637</v>
      </c>
      <c r="S80" s="797"/>
      <c r="T80" s="798"/>
      <c r="U80" s="798"/>
      <c r="V80" s="798"/>
      <c r="W80" s="798"/>
      <c r="X80" s="798"/>
      <c r="Y80" s="799">
        <v>-3.5999999999999999E-3</v>
      </c>
      <c r="Z80" s="799"/>
      <c r="AA80" s="799">
        <v>1.04E-2</v>
      </c>
      <c r="AB80" s="799"/>
      <c r="AC80" s="799">
        <v>4.9599999999999998E-2</v>
      </c>
      <c r="AD80" s="799"/>
      <c r="AE80" s="799">
        <v>1.04E-2</v>
      </c>
      <c r="AF80" s="799"/>
      <c r="AG80" s="799"/>
      <c r="AH80" s="799">
        <v>6.4899999999999999E-2</v>
      </c>
      <c r="AI80" s="799"/>
      <c r="AJ80" s="799">
        <v>4.8000000000000001E-2</v>
      </c>
      <c r="AK80" s="799"/>
      <c r="AL80" s="800">
        <v>7.9500000000000001E-2</v>
      </c>
      <c r="AM80" s="792"/>
      <c r="AN80" s="792"/>
      <c r="AO80" s="792"/>
      <c r="AP80" s="792"/>
      <c r="AQ80" s="792"/>
      <c r="AR80" s="801"/>
      <c r="AS80" s="482"/>
      <c r="AT80" s="482"/>
      <c r="AU80" s="751"/>
      <c r="AV80" s="751"/>
      <c r="AW80" s="816"/>
      <c r="AX80" s="817"/>
      <c r="AY80" s="817"/>
      <c r="AZ80" s="817"/>
      <c r="BA80" s="455"/>
      <c r="BB80" s="455"/>
      <c r="BC80" s="455"/>
      <c r="BD80" s="455"/>
      <c r="BE80" s="455"/>
      <c r="BF80" s="455"/>
      <c r="BG80" s="455"/>
      <c r="BH80" s="455"/>
      <c r="BI80" s="455"/>
      <c r="BJ80" s="455"/>
      <c r="BK80" s="455"/>
      <c r="BL80" s="455"/>
      <c r="BM80" s="455"/>
      <c r="BN80" s="455"/>
      <c r="BO80" s="455"/>
      <c r="BP80" s="455"/>
      <c r="BQ80" s="455"/>
      <c r="BR80" s="455"/>
      <c r="BS80" s="455"/>
      <c r="CE80" s="455"/>
      <c r="CF80" s="455"/>
      <c r="CG80" s="455"/>
      <c r="CH80" s="455"/>
      <c r="CI80" s="455"/>
      <c r="CJ80" s="455"/>
      <c r="CK80" s="455"/>
      <c r="CL80" s="455"/>
      <c r="CM80" s="455"/>
      <c r="CN80" s="455"/>
      <c r="CO80" s="455"/>
      <c r="CP80" s="455"/>
      <c r="CQ80" s="455"/>
      <c r="CR80" s="455"/>
      <c r="CS80" s="455"/>
      <c r="CT80" s="455"/>
      <c r="CU80" s="455"/>
      <c r="CV80" s="455"/>
      <c r="CW80" s="455"/>
      <c r="CX80" s="455"/>
      <c r="CY80" s="455"/>
      <c r="CZ80" s="455"/>
      <c r="DA80" s="455"/>
      <c r="DB80" s="455"/>
      <c r="DC80" s="455"/>
    </row>
    <row r="81" spans="2:107" ht="12.75" customHeight="1">
      <c r="B81" s="770"/>
      <c r="C81" s="777"/>
      <c r="D81" s="1199" t="s">
        <v>638</v>
      </c>
      <c r="E81" s="1199"/>
      <c r="F81" s="1199"/>
      <c r="G81" s="1199"/>
      <c r="H81" s="1199"/>
      <c r="I81" s="1199"/>
      <c r="J81" s="1199"/>
      <c r="K81" s="1199"/>
      <c r="L81" s="1199"/>
      <c r="M81" s="897"/>
      <c r="N81" s="482"/>
      <c r="O81" s="779">
        <v>2356.9634667700002</v>
      </c>
      <c r="P81" s="780"/>
      <c r="R81" s="796" t="s">
        <v>639</v>
      </c>
      <c r="S81" s="797"/>
      <c r="T81" s="798"/>
      <c r="U81" s="798"/>
      <c r="V81" s="798"/>
      <c r="W81" s="798"/>
      <c r="X81" s="798"/>
      <c r="Y81" s="799" t="s">
        <v>636</v>
      </c>
      <c r="Z81" s="799"/>
      <c r="AA81" s="799">
        <v>5.1400000000000001E-2</v>
      </c>
      <c r="AB81" s="799"/>
      <c r="AC81" s="799">
        <v>9.69E-2</v>
      </c>
      <c r="AD81" s="799"/>
      <c r="AE81" s="799">
        <v>5.1400000000000001E-2</v>
      </c>
      <c r="AF81" s="799"/>
      <c r="AG81" s="799"/>
      <c r="AH81" s="799">
        <v>0.1313</v>
      </c>
      <c r="AI81" s="799"/>
      <c r="AJ81" s="799">
        <v>5.4300000000000001E-2</v>
      </c>
      <c r="AK81" s="799"/>
      <c r="AL81" s="800">
        <v>5.0900000000000001E-2</v>
      </c>
      <c r="AM81" s="792"/>
      <c r="AN81" s="792"/>
      <c r="AO81" s="792"/>
      <c r="AP81" s="792"/>
      <c r="AQ81" s="792"/>
      <c r="AR81" s="792"/>
      <c r="AS81" s="482"/>
      <c r="AT81" s="482"/>
      <c r="AU81" s="751"/>
      <c r="AV81" s="751"/>
      <c r="AW81" s="816"/>
      <c r="AX81" s="817"/>
      <c r="AY81" s="817"/>
      <c r="AZ81" s="817"/>
      <c r="BA81" s="455"/>
      <c r="BB81" s="455"/>
      <c r="BC81" s="455"/>
      <c r="BD81" s="455"/>
      <c r="BE81" s="455"/>
      <c r="BF81" s="455"/>
      <c r="BG81" s="455"/>
      <c r="BH81" s="455"/>
      <c r="BI81" s="455"/>
      <c r="BJ81" s="455"/>
      <c r="BK81" s="455"/>
      <c r="BL81" s="455"/>
      <c r="BM81" s="455"/>
      <c r="BN81" s="455"/>
      <c r="BO81" s="455"/>
      <c r="BP81" s="455"/>
      <c r="BQ81" s="455"/>
      <c r="BR81" s="455"/>
      <c r="BS81" s="455"/>
      <c r="CE81" s="455"/>
      <c r="CF81" s="455"/>
      <c r="CG81" s="455"/>
      <c r="CH81" s="455"/>
      <c r="CI81" s="455"/>
      <c r="CJ81" s="455"/>
      <c r="CK81" s="455"/>
      <c r="CL81" s="455"/>
      <c r="CM81" s="455"/>
      <c r="CN81" s="455"/>
      <c r="CO81" s="455"/>
      <c r="CP81" s="455"/>
      <c r="CQ81" s="455"/>
      <c r="CR81" s="455"/>
      <c r="CS81" s="455"/>
      <c r="CT81" s="455"/>
      <c r="CU81" s="455"/>
      <c r="CV81" s="455"/>
      <c r="CW81" s="455"/>
      <c r="CX81" s="455"/>
      <c r="CY81" s="455"/>
      <c r="CZ81" s="455"/>
      <c r="DA81" s="455"/>
      <c r="DB81" s="455"/>
      <c r="DC81" s="455"/>
    </row>
    <row r="82" spans="2:107" ht="12.75" customHeight="1">
      <c r="B82" s="785"/>
      <c r="C82" s="777"/>
      <c r="D82" s="1199" t="s">
        <v>640</v>
      </c>
      <c r="E82" s="1199"/>
      <c r="F82" s="1199"/>
      <c r="G82" s="1199"/>
      <c r="H82" s="1199"/>
      <c r="I82" s="1199"/>
      <c r="J82" s="1199"/>
      <c r="K82" s="1199"/>
      <c r="L82" s="1199"/>
      <c r="M82" s="1199"/>
      <c r="N82" s="1199"/>
      <c r="O82" s="804">
        <v>23.509780449471872</v>
      </c>
      <c r="P82" s="786"/>
      <c r="R82" s="796" t="s">
        <v>641</v>
      </c>
      <c r="S82" s="797"/>
      <c r="T82" s="798"/>
      <c r="U82" s="798"/>
      <c r="V82" s="798"/>
      <c r="W82" s="798"/>
      <c r="X82" s="798"/>
      <c r="Y82" s="799">
        <v>3.2000000000000002E-3</v>
      </c>
      <c r="Z82" s="799"/>
      <c r="AA82" s="799">
        <v>1.9199999999999998E-2</v>
      </c>
      <c r="AB82" s="799"/>
      <c r="AC82" s="799">
        <v>6.2700000000000006E-2</v>
      </c>
      <c r="AD82" s="799"/>
      <c r="AE82" s="799">
        <v>1.9199999999999998E-2</v>
      </c>
      <c r="AF82" s="799"/>
      <c r="AG82" s="799"/>
      <c r="AH82" s="799">
        <v>1.7600000000000001E-2</v>
      </c>
      <c r="AI82" s="799"/>
      <c r="AJ82" s="799">
        <v>6.3799999999999996E-2</v>
      </c>
      <c r="AK82" s="799"/>
      <c r="AL82" s="800"/>
      <c r="AM82" s="823"/>
      <c r="AN82" s="823"/>
      <c r="AO82" s="823"/>
      <c r="AP82" s="823"/>
      <c r="AQ82" s="823"/>
      <c r="AR82" s="823"/>
      <c r="AS82" s="482"/>
      <c r="AT82" s="482"/>
      <c r="AU82" s="751"/>
      <c r="AV82" s="751"/>
      <c r="AW82" s="816"/>
      <c r="AX82" s="817"/>
      <c r="AY82" s="817"/>
      <c r="AZ82" s="817"/>
      <c r="BA82" s="455"/>
      <c r="BB82" s="455"/>
      <c r="BC82" s="455"/>
      <c r="BD82" s="455"/>
      <c r="BE82" s="455"/>
      <c r="BF82" s="455"/>
      <c r="BG82" s="455"/>
      <c r="BH82" s="455"/>
      <c r="BI82" s="455"/>
      <c r="BJ82" s="455"/>
      <c r="BK82" s="455"/>
      <c r="BL82" s="455"/>
      <c r="BM82" s="455"/>
      <c r="BN82" s="455"/>
      <c r="BO82" s="455"/>
      <c r="BP82" s="455"/>
      <c r="BQ82" s="455"/>
      <c r="BR82" s="455"/>
      <c r="BS82" s="455"/>
      <c r="CE82" s="455"/>
      <c r="CF82" s="455"/>
      <c r="CG82" s="455"/>
      <c r="CH82" s="455"/>
      <c r="CI82" s="455"/>
      <c r="CJ82" s="455"/>
      <c r="CK82" s="455"/>
      <c r="CL82" s="455"/>
      <c r="CM82" s="455"/>
      <c r="CN82" s="455"/>
      <c r="CO82" s="455"/>
      <c r="CP82" s="455"/>
      <c r="CQ82" s="455"/>
      <c r="CR82" s="455"/>
      <c r="CS82" s="455"/>
      <c r="CT82" s="455"/>
      <c r="CU82" s="455"/>
      <c r="CV82" s="455"/>
      <c r="CW82" s="455"/>
      <c r="CX82" s="455"/>
      <c r="CY82" s="455"/>
      <c r="CZ82" s="455"/>
      <c r="DA82" s="455"/>
      <c r="DB82" s="455"/>
      <c r="DC82" s="455"/>
    </row>
    <row r="83" spans="2:107" ht="12.75" customHeight="1" thickBot="1">
      <c r="B83" s="803"/>
      <c r="C83" s="805"/>
      <c r="D83" s="806"/>
      <c r="E83" s="806"/>
      <c r="F83" s="1216" t="s">
        <v>642</v>
      </c>
      <c r="G83" s="1216"/>
      <c r="H83" s="1216"/>
      <c r="I83" s="1216"/>
      <c r="J83" s="1216"/>
      <c r="K83" s="1216"/>
      <c r="L83" s="1216"/>
      <c r="M83" s="898"/>
      <c r="N83" s="824" t="s">
        <v>589</v>
      </c>
      <c r="O83" s="825">
        <f>ROUND(O80,1)+ROUND(O81,1)+ROUND(O82,1)</f>
        <v>4977.3999999999996</v>
      </c>
      <c r="P83" s="786"/>
      <c r="R83" s="796" t="s">
        <v>643</v>
      </c>
      <c r="S83" s="797"/>
      <c r="T83" s="798"/>
      <c r="U83" s="798"/>
      <c r="V83" s="798"/>
      <c r="W83" s="798"/>
      <c r="X83" s="798"/>
      <c r="Y83" s="799"/>
      <c r="Z83" s="799"/>
      <c r="AA83" s="799"/>
      <c r="AB83" s="799"/>
      <c r="AC83" s="799"/>
      <c r="AD83" s="799"/>
      <c r="AE83" s="799"/>
      <c r="AF83" s="799"/>
      <c r="AG83" s="799"/>
      <c r="AH83" s="799"/>
      <c r="AI83" s="799"/>
      <c r="AJ83" s="799"/>
      <c r="AK83" s="799"/>
      <c r="AL83" s="800"/>
      <c r="AM83" s="482"/>
      <c r="AN83" s="482"/>
      <c r="AO83" s="482"/>
      <c r="AP83" s="482"/>
      <c r="AQ83" s="482"/>
      <c r="AR83" s="482"/>
      <c r="AS83" s="482"/>
      <c r="AT83" s="482"/>
      <c r="AU83" s="751"/>
      <c r="AV83" s="751"/>
      <c r="AW83" s="816"/>
      <c r="AX83" s="817"/>
      <c r="AY83" s="817"/>
      <c r="AZ83" s="817"/>
      <c r="BA83" s="455"/>
      <c r="BB83" s="455"/>
      <c r="BC83" s="455"/>
      <c r="BD83" s="455"/>
      <c r="BE83" s="455"/>
      <c r="BF83" s="455"/>
      <c r="BG83" s="455"/>
      <c r="BH83" s="455"/>
      <c r="BI83" s="455"/>
      <c r="BJ83" s="455"/>
      <c r="BK83" s="455"/>
      <c r="BL83" s="455"/>
      <c r="BM83" s="455"/>
      <c r="BN83" s="455"/>
      <c r="BO83" s="455"/>
      <c r="BP83" s="455"/>
      <c r="BQ83" s="455"/>
      <c r="BR83" s="455"/>
      <c r="BS83" s="455"/>
      <c r="CE83" s="455"/>
      <c r="CF83" s="455"/>
      <c r="CG83" s="455"/>
      <c r="CH83" s="455"/>
      <c r="CI83" s="455"/>
      <c r="CJ83" s="455"/>
      <c r="CK83" s="455"/>
      <c r="CL83" s="455"/>
      <c r="CM83" s="455"/>
      <c r="CN83" s="455"/>
      <c r="CO83" s="455"/>
      <c r="CP83" s="455"/>
      <c r="CQ83" s="455"/>
      <c r="CR83" s="455"/>
      <c r="CS83" s="455"/>
      <c r="CT83" s="455"/>
      <c r="CU83" s="455"/>
      <c r="CV83" s="455"/>
      <c r="CW83" s="455"/>
      <c r="CX83" s="455"/>
      <c r="CY83" s="455"/>
      <c r="CZ83" s="455"/>
      <c r="DA83" s="455"/>
      <c r="DB83" s="455"/>
      <c r="DC83" s="455"/>
    </row>
    <row r="84" spans="2:107" ht="12.75" customHeight="1" thickTop="1" thickBot="1">
      <c r="B84" s="826"/>
      <c r="C84" s="827"/>
      <c r="D84" s="827"/>
      <c r="E84" s="827"/>
      <c r="F84" s="827"/>
      <c r="G84" s="827"/>
      <c r="H84" s="827"/>
      <c r="I84" s="827"/>
      <c r="J84" s="827"/>
      <c r="K84" s="827"/>
      <c r="L84" s="827"/>
      <c r="M84" s="827"/>
      <c r="N84" s="827"/>
      <c r="O84" s="827"/>
      <c r="P84" s="828"/>
      <c r="R84" s="829" t="s">
        <v>644</v>
      </c>
      <c r="S84" s="830"/>
      <c r="T84" s="831"/>
      <c r="U84" s="831"/>
      <c r="V84" s="831"/>
      <c r="W84" s="831"/>
      <c r="X84" s="831"/>
      <c r="Y84" s="832">
        <v>-2.24E-2</v>
      </c>
      <c r="Z84" s="832"/>
      <c r="AA84" s="832">
        <v>-3.5000000000000003E-2</v>
      </c>
      <c r="AB84" s="832"/>
      <c r="AC84" s="832" t="s">
        <v>645</v>
      </c>
      <c r="AD84" s="832"/>
      <c r="AE84" s="832">
        <v>-3.5000000000000003E-2</v>
      </c>
      <c r="AF84" s="832"/>
      <c r="AG84" s="832"/>
      <c r="AH84" s="832"/>
      <c r="AI84" s="832"/>
      <c r="AJ84" s="832"/>
      <c r="AK84" s="832"/>
      <c r="AL84" s="833"/>
      <c r="AU84" s="751"/>
      <c r="AV84" s="751"/>
      <c r="AW84" s="816"/>
      <c r="AX84" s="817"/>
      <c r="AY84" s="817"/>
      <c r="AZ84" s="817"/>
      <c r="BA84" s="455"/>
      <c r="BB84" s="455"/>
      <c r="BC84" s="455"/>
      <c r="BD84" s="455"/>
      <c r="BE84" s="455"/>
      <c r="BF84" s="455"/>
      <c r="BG84" s="455"/>
      <c r="BH84" s="455"/>
      <c r="BI84" s="455"/>
      <c r="BJ84" s="455"/>
      <c r="BK84" s="455"/>
      <c r="BL84" s="455"/>
      <c r="BM84" s="455"/>
      <c r="BN84" s="455"/>
      <c r="BO84" s="455"/>
      <c r="BP84" s="455"/>
      <c r="BQ84" s="455"/>
      <c r="BR84" s="455"/>
      <c r="BS84" s="455"/>
      <c r="CE84" s="455"/>
      <c r="CF84" s="455"/>
      <c r="CG84" s="455"/>
      <c r="CH84" s="455"/>
      <c r="CI84" s="455"/>
      <c r="CJ84" s="455"/>
      <c r="CK84" s="455"/>
      <c r="CL84" s="455"/>
      <c r="CM84" s="455"/>
      <c r="CN84" s="455"/>
      <c r="CO84" s="455"/>
      <c r="CP84" s="455"/>
      <c r="CQ84" s="455"/>
      <c r="CR84" s="455"/>
      <c r="CS84" s="455"/>
      <c r="CT84" s="455"/>
      <c r="CU84" s="455"/>
      <c r="CV84" s="455"/>
      <c r="CW84" s="455"/>
      <c r="CX84" s="455"/>
      <c r="CY84" s="455"/>
      <c r="CZ84" s="455"/>
      <c r="DA84" s="455"/>
      <c r="DB84" s="455"/>
      <c r="DC84" s="455"/>
    </row>
    <row r="85" spans="2:107" ht="15.75">
      <c r="B85" s="834"/>
      <c r="C85" s="835"/>
      <c r="D85" s="835"/>
      <c r="E85" s="835"/>
      <c r="F85" s="835"/>
      <c r="G85" s="835"/>
      <c r="H85" s="835"/>
      <c r="I85" s="835"/>
      <c r="J85" s="835"/>
      <c r="K85" s="835"/>
      <c r="L85" s="835"/>
      <c r="M85" s="835"/>
      <c r="N85" s="835"/>
      <c r="O85" s="835"/>
      <c r="P85" s="836"/>
      <c r="R85" s="837"/>
      <c r="S85" s="838"/>
      <c r="T85" s="839" t="s">
        <v>192</v>
      </c>
      <c r="U85" s="838"/>
      <c r="V85" s="838"/>
      <c r="W85" s="838"/>
      <c r="X85" s="838"/>
      <c r="Y85" s="840">
        <v>4.1000000000000003E-3</v>
      </c>
      <c r="Z85" s="840"/>
      <c r="AA85" s="840">
        <v>1.6500000000000001E-2</v>
      </c>
      <c r="AB85" s="840"/>
      <c r="AC85" s="840">
        <v>0.1103</v>
      </c>
      <c r="AD85" s="840"/>
      <c r="AE85" s="840">
        <v>1.6500000000000001E-2</v>
      </c>
      <c r="AF85" s="840"/>
      <c r="AG85" s="840"/>
      <c r="AH85" s="840">
        <v>0.104</v>
      </c>
      <c r="AI85" s="840"/>
      <c r="AJ85" s="840">
        <v>7.7399999999999997E-2</v>
      </c>
      <c r="AK85" s="840"/>
      <c r="AL85" s="841">
        <v>0.1283</v>
      </c>
      <c r="AR85" s="784"/>
      <c r="BV85" s="683"/>
      <c r="BW85" s="427"/>
      <c r="BX85" s="427"/>
      <c r="BY85" s="427"/>
      <c r="BZ85" s="427"/>
      <c r="CA85" s="427"/>
      <c r="CB85" s="427"/>
      <c r="CC85" s="427"/>
      <c r="CD85" s="427"/>
      <c r="CE85" s="427"/>
      <c r="CF85" s="427"/>
      <c r="CG85" s="427"/>
      <c r="CH85" s="427"/>
    </row>
    <row r="86" spans="2:107" ht="15.75" customHeight="1" thickBot="1">
      <c r="B86" s="842"/>
      <c r="C86" s="843"/>
      <c r="D86" s="843"/>
      <c r="E86" s="843"/>
      <c r="F86" s="843"/>
      <c r="G86" s="843"/>
      <c r="H86" s="843"/>
      <c r="I86" s="843"/>
      <c r="J86" s="843"/>
      <c r="K86" s="843"/>
      <c r="L86" s="843"/>
      <c r="M86" s="843"/>
      <c r="N86" s="843"/>
      <c r="O86" s="843"/>
      <c r="P86" s="844"/>
      <c r="R86" s="845"/>
      <c r="S86" s="846" t="s">
        <v>646</v>
      </c>
      <c r="T86" s="846"/>
      <c r="U86" s="846"/>
      <c r="V86" s="846"/>
      <c r="W86" s="846"/>
      <c r="X86" s="846"/>
      <c r="Y86" s="847">
        <v>1.0200000000000001E-2</v>
      </c>
      <c r="Z86" s="847"/>
      <c r="AA86" s="847">
        <v>2.5700000000000001E-2</v>
      </c>
      <c r="AB86" s="847"/>
      <c r="AC86" s="847">
        <v>4.9099999999999998E-2</v>
      </c>
      <c r="AD86" s="847"/>
      <c r="AE86" s="847">
        <v>2.5700000000000001E-2</v>
      </c>
      <c r="AF86" s="847"/>
      <c r="AG86" s="847"/>
      <c r="AH86" s="847">
        <v>6.5100000000000005E-2</v>
      </c>
      <c r="AI86" s="847"/>
      <c r="AJ86" s="847">
        <v>6.88E-2</v>
      </c>
      <c r="AK86" s="847"/>
      <c r="AL86" s="848">
        <v>7.1300000000000002E-2</v>
      </c>
      <c r="BV86" s="849"/>
      <c r="BW86" s="427"/>
      <c r="BX86" s="427"/>
      <c r="BY86" s="427"/>
      <c r="BZ86" s="427"/>
      <c r="CA86" s="427"/>
      <c r="CB86" s="427"/>
      <c r="CC86" s="427"/>
      <c r="CD86" s="427"/>
      <c r="CE86" s="427"/>
      <c r="CF86" s="427"/>
      <c r="CG86" s="427"/>
      <c r="CH86" s="427"/>
    </row>
    <row r="87" spans="2:107" ht="15.75">
      <c r="C87" s="843"/>
      <c r="D87" s="843"/>
      <c r="E87" s="843"/>
      <c r="F87" s="843"/>
      <c r="G87" s="843"/>
      <c r="H87" s="843"/>
      <c r="I87" s="843"/>
      <c r="J87" s="843"/>
      <c r="K87" s="843"/>
      <c r="L87" s="843"/>
      <c r="M87" s="843"/>
      <c r="N87" s="843"/>
      <c r="O87" s="843"/>
      <c r="BV87" s="849"/>
      <c r="BW87" s="427"/>
      <c r="BX87" s="427"/>
      <c r="BY87" s="427"/>
      <c r="BZ87" s="427"/>
      <c r="CA87" s="427"/>
      <c r="CB87" s="427"/>
      <c r="CC87" s="427"/>
      <c r="CD87" s="427"/>
      <c r="CE87" s="427"/>
      <c r="CF87" s="427"/>
      <c r="CG87" s="427"/>
      <c r="CH87" s="427"/>
    </row>
    <row r="88" spans="2:107">
      <c r="BV88" s="849"/>
      <c r="BW88" s="427"/>
      <c r="BX88" s="427"/>
      <c r="BY88" s="427"/>
      <c r="BZ88" s="427"/>
      <c r="CA88" s="427"/>
      <c r="CB88" s="427"/>
      <c r="CC88" s="427"/>
      <c r="CD88" s="427"/>
      <c r="CE88" s="427"/>
      <c r="CF88" s="427"/>
      <c r="CG88" s="427"/>
      <c r="CH88" s="427"/>
    </row>
    <row r="89" spans="2:107" ht="13.5" thickBot="1">
      <c r="S89" s="784"/>
      <c r="T89" s="784"/>
      <c r="U89" s="784"/>
      <c r="V89" s="784"/>
      <c r="W89" s="784"/>
      <c r="X89" s="784"/>
      <c r="Y89" s="784"/>
      <c r="Z89" s="784"/>
      <c r="AB89" s="784"/>
      <c r="AC89" s="784"/>
      <c r="AD89" s="784"/>
      <c r="AE89" s="784"/>
      <c r="AF89" s="784"/>
      <c r="AG89" s="784"/>
      <c r="AH89" s="784"/>
      <c r="AI89" s="784"/>
      <c r="AJ89" s="784"/>
      <c r="AK89" s="784"/>
      <c r="AL89" s="784"/>
    </row>
    <row r="90" spans="2:107">
      <c r="F90" s="1217" t="s">
        <v>647</v>
      </c>
      <c r="G90" s="1218"/>
      <c r="H90" s="1218"/>
      <c r="I90" s="1218"/>
      <c r="J90" s="1218"/>
      <c r="K90" s="1218"/>
      <c r="L90" s="1218"/>
      <c r="M90" s="1218"/>
      <c r="N90" s="1218"/>
      <c r="O90" s="850" t="s">
        <v>648</v>
      </c>
      <c r="P90" s="851"/>
      <c r="Q90" s="852"/>
      <c r="W90" s="926" t="s">
        <v>124</v>
      </c>
      <c r="X90" s="926" t="s">
        <v>728</v>
      </c>
      <c r="Y90" s="926" t="s">
        <v>541</v>
      </c>
    </row>
    <row r="91" spans="2:107">
      <c r="F91" s="853" t="s">
        <v>649</v>
      </c>
      <c r="I91" s="482"/>
      <c r="J91" s="482"/>
      <c r="K91" s="482"/>
      <c r="L91" s="482"/>
      <c r="M91" s="482"/>
      <c r="N91" s="482"/>
      <c r="O91" s="482"/>
      <c r="P91" s="482"/>
      <c r="Q91" s="854"/>
      <c r="R91" s="855"/>
      <c r="S91" s="855"/>
      <c r="T91" s="855"/>
      <c r="U91" s="855"/>
      <c r="V91" s="855"/>
      <c r="W91" s="926">
        <v>2015</v>
      </c>
      <c r="X91" s="955">
        <v>6.9966714829590673E-2</v>
      </c>
      <c r="Y91" s="955">
        <f>Graphs!C5</f>
        <v>2.2499999999999999E-2</v>
      </c>
      <c r="AA91" s="926"/>
      <c r="AB91" s="926"/>
    </row>
    <row r="92" spans="2:107" ht="13.5" thickBot="1">
      <c r="F92" s="853"/>
      <c r="H92" s="694" t="s">
        <v>142</v>
      </c>
      <c r="I92" s="488"/>
      <c r="J92" s="488" t="s">
        <v>54</v>
      </c>
      <c r="K92" s="488"/>
      <c r="L92" s="488" t="s">
        <v>650</v>
      </c>
      <c r="M92" s="482"/>
      <c r="N92" s="482"/>
      <c r="O92" s="482"/>
      <c r="P92" s="482"/>
      <c r="Q92" s="855"/>
      <c r="R92" s="855"/>
      <c r="S92" s="855"/>
      <c r="T92" s="855"/>
      <c r="U92" s="855"/>
      <c r="V92" s="855"/>
      <c r="W92" s="926">
        <f t="shared" ref="W92:W121" si="33">W91+1</f>
        <v>2016</v>
      </c>
      <c r="X92" s="955">
        <f>F62</f>
        <v>6.7000000000000004E-2</v>
      </c>
      <c r="Y92" s="955">
        <f>Y91</f>
        <v>2.2499999999999999E-2</v>
      </c>
      <c r="AA92" s="926"/>
      <c r="AB92" s="926"/>
    </row>
    <row r="93" spans="2:107" ht="13.5" thickBot="1">
      <c r="F93" s="853" t="s">
        <v>652</v>
      </c>
      <c r="G93" s="482"/>
      <c r="H93" s="856">
        <v>456</v>
      </c>
      <c r="I93" s="482"/>
      <c r="K93" s="482"/>
      <c r="L93" s="482"/>
      <c r="M93" s="482"/>
      <c r="N93" s="482"/>
      <c r="O93" s="587" t="s">
        <v>651</v>
      </c>
      <c r="P93" s="482"/>
      <c r="W93" s="926">
        <f t="shared" si="33"/>
        <v>2017</v>
      </c>
      <c r="X93" s="955">
        <f t="shared" ref="X93:X121" si="34">X92</f>
        <v>6.7000000000000004E-2</v>
      </c>
      <c r="Y93" s="955">
        <f t="shared" ref="Y93:Y121" si="35">Y92</f>
        <v>2.2499999999999999E-2</v>
      </c>
      <c r="AA93" s="926"/>
      <c r="AB93" s="926"/>
    </row>
    <row r="94" spans="2:107" ht="13.5" thickBot="1">
      <c r="F94" s="853" t="s">
        <v>103</v>
      </c>
      <c r="G94" s="482"/>
      <c r="H94" s="856">
        <v>468</v>
      </c>
      <c r="I94" s="482"/>
      <c r="K94" s="482"/>
      <c r="L94" s="482"/>
      <c r="M94" s="482"/>
      <c r="N94" s="482"/>
      <c r="O94" s="587" t="str">
        <f t="shared" ref="O94:O102" si="36">O93</f>
        <v>Fall 2013 forecast</v>
      </c>
      <c r="P94" s="482"/>
      <c r="W94" s="926">
        <f t="shared" si="33"/>
        <v>2018</v>
      </c>
      <c r="X94" s="955">
        <f t="shared" si="34"/>
        <v>6.7000000000000004E-2</v>
      </c>
      <c r="Y94" s="955">
        <f t="shared" si="35"/>
        <v>2.2499999999999999E-2</v>
      </c>
      <c r="AA94" s="926"/>
      <c r="AB94" s="926"/>
    </row>
    <row r="95" spans="2:107" ht="16.5" thickBot="1">
      <c r="F95" s="853" t="s">
        <v>104</v>
      </c>
      <c r="G95" s="482"/>
      <c r="H95" s="856">
        <v>639</v>
      </c>
      <c r="I95" s="482"/>
      <c r="K95" s="482"/>
      <c r="L95" s="482"/>
      <c r="M95" s="482"/>
      <c r="N95" s="482"/>
      <c r="O95" s="587" t="str">
        <f t="shared" si="36"/>
        <v>Fall 2013 forecast</v>
      </c>
      <c r="P95" s="482"/>
      <c r="S95" s="857"/>
      <c r="W95" s="926">
        <f t="shared" si="33"/>
        <v>2019</v>
      </c>
      <c r="X95" s="955">
        <f t="shared" si="34"/>
        <v>6.7000000000000004E-2</v>
      </c>
      <c r="Y95" s="955">
        <f t="shared" si="35"/>
        <v>2.2499999999999999E-2</v>
      </c>
      <c r="AA95" s="926"/>
      <c r="AB95" s="926"/>
      <c r="AU95" s="455"/>
      <c r="AV95" s="455"/>
      <c r="AW95" s="455"/>
      <c r="AX95" s="455"/>
      <c r="AY95" s="455"/>
      <c r="BA95" s="683"/>
      <c r="BB95" s="683"/>
      <c r="BC95" s="683"/>
      <c r="BD95" s="683"/>
      <c r="BE95" s="683"/>
      <c r="BF95" s="683"/>
      <c r="BG95" s="683"/>
      <c r="BH95" s="683"/>
      <c r="BI95" s="683"/>
      <c r="BJ95" s="683"/>
      <c r="BK95" s="683"/>
      <c r="BL95" s="683"/>
      <c r="BM95" s="683"/>
      <c r="BN95" s="683"/>
      <c r="BO95" s="683"/>
      <c r="BP95" s="683"/>
      <c r="BQ95" s="683"/>
      <c r="BR95" s="683"/>
      <c r="BS95" s="683"/>
    </row>
    <row r="96" spans="2:107" ht="16.5" thickBot="1">
      <c r="F96" s="853" t="s">
        <v>105</v>
      </c>
      <c r="G96" s="482"/>
      <c r="H96" s="856">
        <v>607</v>
      </c>
      <c r="I96" s="482"/>
      <c r="K96" s="482"/>
      <c r="L96" s="482"/>
      <c r="M96" s="482"/>
      <c r="N96" s="482"/>
      <c r="O96" s="587" t="str">
        <f t="shared" si="36"/>
        <v>Fall 2013 forecast</v>
      </c>
      <c r="P96" s="482"/>
      <c r="S96" s="857"/>
      <c r="W96" s="926">
        <f t="shared" si="33"/>
        <v>2020</v>
      </c>
      <c r="X96" s="955">
        <f t="shared" si="34"/>
        <v>6.7000000000000004E-2</v>
      </c>
      <c r="Y96" s="955">
        <f t="shared" si="35"/>
        <v>2.2499999999999999E-2</v>
      </c>
      <c r="AA96" s="926"/>
      <c r="AB96" s="926"/>
      <c r="AU96" s="455"/>
      <c r="AV96" s="455"/>
      <c r="AW96" s="455"/>
      <c r="AX96" s="455"/>
      <c r="AY96" s="455"/>
      <c r="AZ96" s="455"/>
      <c r="BA96" s="455"/>
      <c r="BB96" s="455"/>
      <c r="BC96" s="455"/>
      <c r="BD96" s="455"/>
      <c r="BE96" s="455"/>
      <c r="BF96" s="455"/>
      <c r="BG96" s="455"/>
      <c r="BH96" s="455"/>
      <c r="BI96" s="455"/>
      <c r="BJ96" s="455"/>
      <c r="BK96" s="455"/>
      <c r="BL96" s="455"/>
      <c r="BM96" s="455"/>
      <c r="BN96" s="455"/>
      <c r="BO96" s="455"/>
      <c r="BP96" s="455"/>
      <c r="BQ96" s="455"/>
      <c r="BR96" s="455"/>
      <c r="BS96" s="455"/>
    </row>
    <row r="97" spans="6:52" ht="16.5" thickBot="1">
      <c r="F97" s="853" t="s">
        <v>106</v>
      </c>
      <c r="G97" s="482"/>
      <c r="H97" s="856">
        <v>607</v>
      </c>
      <c r="I97" s="482"/>
      <c r="K97" s="482"/>
      <c r="L97" s="482"/>
      <c r="M97" s="482"/>
      <c r="N97" s="482"/>
      <c r="O97" s="587" t="str">
        <f t="shared" si="36"/>
        <v>Fall 2013 forecast</v>
      </c>
      <c r="P97" s="482"/>
      <c r="S97" s="857"/>
      <c r="W97" s="926">
        <f t="shared" si="33"/>
        <v>2021</v>
      </c>
      <c r="X97" s="955">
        <f t="shared" si="34"/>
        <v>6.7000000000000004E-2</v>
      </c>
      <c r="Y97" s="955">
        <f t="shared" si="35"/>
        <v>2.2499999999999999E-2</v>
      </c>
      <c r="AA97" s="926"/>
      <c r="AB97" s="926"/>
      <c r="AU97" s="455"/>
      <c r="AV97" s="455"/>
      <c r="AW97" s="455"/>
      <c r="AX97" s="455"/>
      <c r="AY97" s="455"/>
      <c r="AZ97" s="455"/>
    </row>
    <row r="98" spans="6:52" ht="16.5" thickBot="1">
      <c r="F98" s="853" t="s">
        <v>107</v>
      </c>
      <c r="G98" s="482"/>
      <c r="H98" s="856">
        <v>644</v>
      </c>
      <c r="I98" s="482"/>
      <c r="K98" s="482"/>
      <c r="L98" s="482"/>
      <c r="M98" s="482"/>
      <c r="N98" s="482"/>
      <c r="O98" s="587" t="str">
        <f t="shared" si="36"/>
        <v>Fall 2013 forecast</v>
      </c>
      <c r="P98" s="482"/>
      <c r="S98" s="857"/>
      <c r="W98" s="926">
        <f t="shared" si="33"/>
        <v>2022</v>
      </c>
      <c r="X98" s="955">
        <f t="shared" si="34"/>
        <v>6.7000000000000004E-2</v>
      </c>
      <c r="Y98" s="955">
        <f t="shared" si="35"/>
        <v>2.2499999999999999E-2</v>
      </c>
      <c r="AA98" s="926"/>
      <c r="AB98" s="926"/>
      <c r="AZ98" s="455"/>
    </row>
    <row r="99" spans="6:52" ht="13.5" thickBot="1">
      <c r="F99" s="853" t="s">
        <v>108</v>
      </c>
      <c r="G99" s="482"/>
      <c r="H99" s="856">
        <v>604</v>
      </c>
      <c r="I99" s="482"/>
      <c r="K99" s="482"/>
      <c r="L99" s="482"/>
      <c r="M99" s="482"/>
      <c r="N99" s="482"/>
      <c r="O99" s="587" t="str">
        <f t="shared" si="36"/>
        <v>Fall 2013 forecast</v>
      </c>
      <c r="P99" s="482"/>
      <c r="S99" s="857"/>
      <c r="W99" s="926">
        <f t="shared" si="33"/>
        <v>2023</v>
      </c>
      <c r="X99" s="955">
        <f t="shared" si="34"/>
        <v>6.7000000000000004E-2</v>
      </c>
      <c r="Y99" s="955">
        <f t="shared" si="35"/>
        <v>2.2499999999999999E-2</v>
      </c>
      <c r="AA99" s="926"/>
      <c r="AB99" s="926"/>
    </row>
    <row r="100" spans="6:52" ht="13.5" thickBot="1">
      <c r="F100" s="853" t="s">
        <v>109</v>
      </c>
      <c r="G100" s="482"/>
      <c r="H100" s="856">
        <v>558</v>
      </c>
      <c r="I100" s="482"/>
      <c r="K100" s="482"/>
      <c r="L100" s="482"/>
      <c r="M100" s="482"/>
      <c r="N100" s="482"/>
      <c r="O100" s="587" t="str">
        <f t="shared" si="36"/>
        <v>Fall 2013 forecast</v>
      </c>
      <c r="P100" s="482"/>
      <c r="S100" s="857"/>
      <c r="W100" s="926">
        <f t="shared" si="33"/>
        <v>2024</v>
      </c>
      <c r="X100" s="955">
        <f t="shared" si="34"/>
        <v>6.7000000000000004E-2</v>
      </c>
      <c r="Y100" s="955">
        <f t="shared" si="35"/>
        <v>2.2499999999999999E-2</v>
      </c>
      <c r="AA100" s="926"/>
      <c r="AB100" s="926"/>
    </row>
    <row r="101" spans="6:52" ht="13.5" thickBot="1">
      <c r="F101" s="853" t="s">
        <v>110</v>
      </c>
      <c r="G101" s="482"/>
      <c r="H101" s="858">
        <v>539</v>
      </c>
      <c r="I101" s="482"/>
      <c r="K101" s="482"/>
      <c r="L101" s="482"/>
      <c r="M101" s="482"/>
      <c r="N101" s="482"/>
      <c r="O101" s="587" t="str">
        <f t="shared" si="36"/>
        <v>Fall 2013 forecast</v>
      </c>
      <c r="P101" s="482"/>
      <c r="S101" s="857"/>
      <c r="W101" s="926">
        <f t="shared" si="33"/>
        <v>2025</v>
      </c>
      <c r="X101" s="955">
        <f t="shared" si="34"/>
        <v>6.7000000000000004E-2</v>
      </c>
      <c r="Y101" s="955">
        <f t="shared" si="35"/>
        <v>2.2499999999999999E-2</v>
      </c>
      <c r="AA101" s="926"/>
      <c r="AB101" s="926"/>
    </row>
    <row r="102" spans="6:52" ht="13.5" thickBot="1">
      <c r="F102" s="853" t="s">
        <v>111</v>
      </c>
      <c r="G102" s="482"/>
      <c r="H102" s="859">
        <v>519</v>
      </c>
      <c r="I102" s="482"/>
      <c r="K102" s="482"/>
      <c r="L102" s="482"/>
      <c r="M102" s="482"/>
      <c r="N102" s="482"/>
      <c r="O102" s="587" t="str">
        <f t="shared" si="36"/>
        <v>Fall 2013 forecast</v>
      </c>
      <c r="P102" s="482"/>
      <c r="S102" s="857"/>
      <c r="W102" s="926">
        <f t="shared" si="33"/>
        <v>2026</v>
      </c>
      <c r="X102" s="955">
        <f t="shared" si="34"/>
        <v>6.7000000000000004E-2</v>
      </c>
      <c r="Y102" s="955">
        <f t="shared" si="35"/>
        <v>2.2499999999999999E-2</v>
      </c>
      <c r="AA102" s="926"/>
      <c r="AB102" s="926"/>
    </row>
    <row r="103" spans="6:52" ht="13.5" thickBot="1">
      <c r="F103" s="853" t="s">
        <v>112</v>
      </c>
      <c r="G103" s="482"/>
      <c r="H103" s="860">
        <v>468</v>
      </c>
      <c r="I103" s="482"/>
      <c r="K103" s="482"/>
      <c r="L103" s="482"/>
      <c r="M103" s="482"/>
      <c r="N103" s="482"/>
      <c r="O103" s="587" t="s">
        <v>653</v>
      </c>
      <c r="P103" s="482"/>
      <c r="S103" s="857"/>
      <c r="W103" s="926">
        <f t="shared" si="33"/>
        <v>2027</v>
      </c>
      <c r="X103" s="955">
        <f t="shared" si="34"/>
        <v>6.7000000000000004E-2</v>
      </c>
      <c r="Y103" s="955">
        <f t="shared" si="35"/>
        <v>2.2499999999999999E-2</v>
      </c>
      <c r="AA103" s="926"/>
      <c r="AB103" s="926"/>
    </row>
    <row r="104" spans="6:52" ht="13.5" thickBot="1">
      <c r="F104" s="853" t="s">
        <v>113</v>
      </c>
      <c r="G104" s="482"/>
      <c r="H104" s="861">
        <f>H103*0.94</f>
        <v>439.91999999999996</v>
      </c>
      <c r="I104" s="482"/>
      <c r="K104" s="482"/>
      <c r="L104" s="482"/>
      <c r="M104" s="482"/>
      <c r="N104" s="482"/>
      <c r="O104" s="587" t="s">
        <v>653</v>
      </c>
      <c r="P104" s="482"/>
      <c r="S104" s="857"/>
      <c r="W104" s="926">
        <f t="shared" si="33"/>
        <v>2028</v>
      </c>
      <c r="X104" s="955">
        <f t="shared" si="34"/>
        <v>6.7000000000000004E-2</v>
      </c>
      <c r="Y104" s="955">
        <f t="shared" si="35"/>
        <v>2.2499999999999999E-2</v>
      </c>
      <c r="AA104" s="926"/>
      <c r="AB104" s="926"/>
    </row>
    <row r="105" spans="6:52" ht="13.5" thickBot="1">
      <c r="F105" s="853" t="s">
        <v>114</v>
      </c>
      <c r="G105" s="482"/>
      <c r="H105" s="861">
        <f t="shared" ref="H105:H124" si="37">H104*0.94</f>
        <v>413.52479999999991</v>
      </c>
      <c r="I105" s="482"/>
      <c r="K105" s="482"/>
      <c r="L105" s="482"/>
      <c r="M105" s="482"/>
      <c r="N105" s="482"/>
      <c r="O105" s="587" t="s">
        <v>653</v>
      </c>
      <c r="P105" s="482"/>
      <c r="S105" s="857"/>
      <c r="W105" s="926">
        <f t="shared" si="33"/>
        <v>2029</v>
      </c>
      <c r="X105" s="955">
        <f t="shared" si="34"/>
        <v>6.7000000000000004E-2</v>
      </c>
      <c r="Y105" s="955">
        <f t="shared" si="35"/>
        <v>2.2499999999999999E-2</v>
      </c>
      <c r="AA105" s="926"/>
      <c r="AB105" s="926"/>
    </row>
    <row r="106" spans="6:52" ht="13.5" thickBot="1">
      <c r="F106" s="853" t="s">
        <v>115</v>
      </c>
      <c r="G106" s="482"/>
      <c r="H106" s="861">
        <f t="shared" si="37"/>
        <v>388.71331199999992</v>
      </c>
      <c r="I106" s="482"/>
      <c r="K106" s="482"/>
      <c r="L106" s="482"/>
      <c r="M106" s="482"/>
      <c r="N106" s="482"/>
      <c r="O106" s="587" t="s">
        <v>653</v>
      </c>
      <c r="P106" s="482"/>
      <c r="S106" s="857"/>
      <c r="W106" s="926">
        <f t="shared" si="33"/>
        <v>2030</v>
      </c>
      <c r="X106" s="955">
        <f t="shared" si="34"/>
        <v>6.7000000000000004E-2</v>
      </c>
      <c r="Y106" s="955">
        <f t="shared" si="35"/>
        <v>2.2499999999999999E-2</v>
      </c>
      <c r="AA106" s="926"/>
      <c r="AB106" s="926"/>
    </row>
    <row r="107" spans="6:52" ht="13.5" thickBot="1">
      <c r="F107" s="853" t="s">
        <v>116</v>
      </c>
      <c r="G107" s="482"/>
      <c r="H107" s="861">
        <f t="shared" si="37"/>
        <v>365.39051327999988</v>
      </c>
      <c r="L107" s="482"/>
      <c r="M107" s="482"/>
      <c r="N107" s="482"/>
      <c r="O107" s="587" t="s">
        <v>653</v>
      </c>
      <c r="P107" s="482"/>
      <c r="S107" s="857"/>
      <c r="W107" s="926">
        <f t="shared" si="33"/>
        <v>2031</v>
      </c>
      <c r="X107" s="955">
        <f t="shared" si="34"/>
        <v>6.7000000000000004E-2</v>
      </c>
      <c r="Y107" s="955">
        <f t="shared" si="35"/>
        <v>2.2499999999999999E-2</v>
      </c>
      <c r="AA107" s="926"/>
      <c r="AB107" s="926"/>
    </row>
    <row r="108" spans="6:52" ht="13.5" thickBot="1">
      <c r="F108" s="853" t="s">
        <v>117</v>
      </c>
      <c r="G108" s="482"/>
      <c r="H108" s="861">
        <f t="shared" si="37"/>
        <v>343.46708248319987</v>
      </c>
      <c r="L108" s="482"/>
      <c r="M108" s="482"/>
      <c r="N108" s="482"/>
      <c r="O108" s="587" t="s">
        <v>653</v>
      </c>
      <c r="P108" s="482"/>
      <c r="W108" s="926">
        <f t="shared" si="33"/>
        <v>2032</v>
      </c>
      <c r="X108" s="955">
        <f t="shared" si="34"/>
        <v>6.7000000000000004E-2</v>
      </c>
      <c r="Y108" s="955">
        <f t="shared" si="35"/>
        <v>2.2499999999999999E-2</v>
      </c>
      <c r="AA108" s="926"/>
      <c r="AB108" s="926"/>
    </row>
    <row r="109" spans="6:52" ht="13.5" thickBot="1">
      <c r="F109" s="853" t="s">
        <v>118</v>
      </c>
      <c r="G109" s="482"/>
      <c r="H109" s="861">
        <f t="shared" si="37"/>
        <v>322.85905753420786</v>
      </c>
      <c r="L109" s="482"/>
      <c r="M109" s="482"/>
      <c r="N109" s="482"/>
      <c r="O109" s="587" t="s">
        <v>653</v>
      </c>
      <c r="P109" s="482"/>
      <c r="W109" s="926">
        <f t="shared" si="33"/>
        <v>2033</v>
      </c>
      <c r="X109" s="955">
        <f t="shared" si="34"/>
        <v>6.7000000000000004E-2</v>
      </c>
      <c r="Y109" s="955">
        <f t="shared" si="35"/>
        <v>2.2499999999999999E-2</v>
      </c>
      <c r="AA109" s="926"/>
      <c r="AB109" s="926"/>
    </row>
    <row r="110" spans="6:52" ht="13.5" thickBot="1">
      <c r="F110" s="853" t="s">
        <v>654</v>
      </c>
      <c r="G110" s="482"/>
      <c r="H110" s="861">
        <f t="shared" si="37"/>
        <v>303.48751408215537</v>
      </c>
      <c r="L110" s="482"/>
      <c r="M110" s="482"/>
      <c r="N110" s="482"/>
      <c r="O110" s="587" t="s">
        <v>653</v>
      </c>
      <c r="P110" s="482"/>
      <c r="W110" s="926">
        <f t="shared" si="33"/>
        <v>2034</v>
      </c>
      <c r="X110" s="955">
        <f t="shared" si="34"/>
        <v>6.7000000000000004E-2</v>
      </c>
      <c r="Y110" s="955">
        <f t="shared" si="35"/>
        <v>2.2499999999999999E-2</v>
      </c>
      <c r="AA110" s="926"/>
      <c r="AB110" s="926"/>
    </row>
    <row r="111" spans="6:52" ht="13.5" thickBot="1">
      <c r="F111" s="853" t="s">
        <v>655</v>
      </c>
      <c r="G111" s="482"/>
      <c r="H111" s="861">
        <f t="shared" si="37"/>
        <v>285.27826323722604</v>
      </c>
      <c r="L111" s="482"/>
      <c r="M111" s="482"/>
      <c r="N111" s="482"/>
      <c r="O111" s="587" t="s">
        <v>653</v>
      </c>
      <c r="P111" s="482"/>
      <c r="W111" s="926">
        <f t="shared" si="33"/>
        <v>2035</v>
      </c>
      <c r="X111" s="955">
        <f t="shared" si="34"/>
        <v>6.7000000000000004E-2</v>
      </c>
      <c r="Y111" s="955">
        <f t="shared" si="35"/>
        <v>2.2499999999999999E-2</v>
      </c>
      <c r="AA111" s="926"/>
      <c r="AB111" s="926"/>
    </row>
    <row r="112" spans="6:52" ht="13.5" thickBot="1">
      <c r="F112" s="853" t="s">
        <v>656</v>
      </c>
      <c r="G112" s="482"/>
      <c r="H112" s="861">
        <f t="shared" si="37"/>
        <v>268.16156744299246</v>
      </c>
      <c r="L112" s="482"/>
      <c r="M112" s="482"/>
      <c r="N112" s="482"/>
      <c r="O112" s="587" t="s">
        <v>653</v>
      </c>
      <c r="P112" s="482"/>
      <c r="W112" s="926">
        <f t="shared" si="33"/>
        <v>2036</v>
      </c>
      <c r="X112" s="955">
        <f t="shared" si="34"/>
        <v>6.7000000000000004E-2</v>
      </c>
      <c r="Y112" s="955">
        <f t="shared" si="35"/>
        <v>2.2499999999999999E-2</v>
      </c>
      <c r="AA112" s="926"/>
      <c r="AB112" s="926"/>
    </row>
    <row r="113" spans="6:51" ht="13.5" thickBot="1">
      <c r="F113" s="853" t="s">
        <v>657</v>
      </c>
      <c r="G113" s="482"/>
      <c r="H113" s="861">
        <f t="shared" si="37"/>
        <v>252.07187339641291</v>
      </c>
      <c r="L113" s="482"/>
      <c r="M113" s="482"/>
      <c r="N113" s="482"/>
      <c r="O113" s="587" t="s">
        <v>653</v>
      </c>
      <c r="P113" s="482"/>
      <c r="W113" s="926">
        <f t="shared" si="33"/>
        <v>2037</v>
      </c>
      <c r="X113" s="955">
        <f t="shared" si="34"/>
        <v>6.7000000000000004E-2</v>
      </c>
      <c r="Y113" s="955">
        <f t="shared" si="35"/>
        <v>2.2499999999999999E-2</v>
      </c>
      <c r="AA113" s="926"/>
      <c r="AB113" s="926"/>
      <c r="AY113" s="862"/>
    </row>
    <row r="114" spans="6:51" ht="13.5" thickBot="1">
      <c r="F114" s="853" t="s">
        <v>658</v>
      </c>
      <c r="G114" s="482"/>
      <c r="H114" s="861">
        <f t="shared" si="37"/>
        <v>236.94756099262813</v>
      </c>
      <c r="L114" s="482"/>
      <c r="M114" s="482"/>
      <c r="N114" s="482"/>
      <c r="O114" s="587" t="s">
        <v>653</v>
      </c>
      <c r="P114" s="482"/>
      <c r="W114" s="926">
        <f t="shared" si="33"/>
        <v>2038</v>
      </c>
      <c r="X114" s="955">
        <f t="shared" si="34"/>
        <v>6.7000000000000004E-2</v>
      </c>
      <c r="Y114" s="955">
        <f t="shared" si="35"/>
        <v>2.2499999999999999E-2</v>
      </c>
      <c r="AA114" s="926"/>
      <c r="AB114" s="926"/>
      <c r="AY114" s="862"/>
    </row>
    <row r="115" spans="6:51" ht="13.5" thickBot="1">
      <c r="F115" s="853" t="s">
        <v>659</v>
      </c>
      <c r="G115" s="482"/>
      <c r="H115" s="861">
        <f t="shared" si="37"/>
        <v>222.73070733307043</v>
      </c>
      <c r="L115" s="482"/>
      <c r="M115" s="482"/>
      <c r="N115" s="482"/>
      <c r="O115" s="587" t="s">
        <v>653</v>
      </c>
      <c r="P115" s="482"/>
      <c r="W115" s="926">
        <f t="shared" si="33"/>
        <v>2039</v>
      </c>
      <c r="X115" s="955">
        <f t="shared" si="34"/>
        <v>6.7000000000000004E-2</v>
      </c>
      <c r="Y115" s="955">
        <f t="shared" si="35"/>
        <v>2.2499999999999999E-2</v>
      </c>
      <c r="AA115" s="926"/>
      <c r="AB115" s="926"/>
      <c r="AT115" s="862"/>
      <c r="AY115" s="862"/>
    </row>
    <row r="116" spans="6:51" ht="13.5" thickBot="1">
      <c r="F116" s="853" t="s">
        <v>660</v>
      </c>
      <c r="G116" s="482"/>
      <c r="H116" s="861">
        <f t="shared" si="37"/>
        <v>209.36686489308619</v>
      </c>
      <c r="L116" s="482"/>
      <c r="M116" s="482"/>
      <c r="N116" s="482"/>
      <c r="O116" s="587" t="s">
        <v>653</v>
      </c>
      <c r="P116" s="482"/>
      <c r="W116" s="926">
        <f t="shared" si="33"/>
        <v>2040</v>
      </c>
      <c r="X116" s="955">
        <f t="shared" si="34"/>
        <v>6.7000000000000004E-2</v>
      </c>
      <c r="Y116" s="955">
        <f t="shared" si="35"/>
        <v>2.2499999999999999E-2</v>
      </c>
      <c r="AA116" s="926"/>
      <c r="AB116" s="926"/>
      <c r="AS116" s="862"/>
      <c r="AT116" s="862"/>
      <c r="AY116" s="862"/>
    </row>
    <row r="117" spans="6:51" ht="13.5" thickBot="1">
      <c r="F117" s="853" t="s">
        <v>661</v>
      </c>
      <c r="G117" s="482"/>
      <c r="H117" s="861">
        <f t="shared" si="37"/>
        <v>196.80485299950101</v>
      </c>
      <c r="L117" s="482"/>
      <c r="M117" s="482"/>
      <c r="N117" s="482"/>
      <c r="O117" s="587" t="s">
        <v>653</v>
      </c>
      <c r="P117" s="482"/>
      <c r="W117" s="926">
        <f t="shared" si="33"/>
        <v>2041</v>
      </c>
      <c r="X117" s="955">
        <f t="shared" si="34"/>
        <v>6.7000000000000004E-2</v>
      </c>
      <c r="Y117" s="955">
        <f t="shared" si="35"/>
        <v>2.2499999999999999E-2</v>
      </c>
      <c r="AA117" s="926"/>
      <c r="AB117" s="926"/>
      <c r="AS117" s="862"/>
      <c r="AT117" s="862"/>
      <c r="AY117" s="862"/>
    </row>
    <row r="118" spans="6:51" ht="13.5" thickBot="1">
      <c r="F118" s="853" t="s">
        <v>662</v>
      </c>
      <c r="G118" s="482"/>
      <c r="H118" s="861">
        <f t="shared" si="37"/>
        <v>184.99656181953094</v>
      </c>
      <c r="L118" s="482"/>
      <c r="M118" s="482"/>
      <c r="N118" s="482"/>
      <c r="O118" s="587" t="s">
        <v>653</v>
      </c>
      <c r="P118" s="482"/>
      <c r="W118" s="926">
        <f t="shared" si="33"/>
        <v>2042</v>
      </c>
      <c r="X118" s="955">
        <f t="shared" si="34"/>
        <v>6.7000000000000004E-2</v>
      </c>
      <c r="Y118" s="955">
        <f t="shared" si="35"/>
        <v>2.2499999999999999E-2</v>
      </c>
      <c r="AA118" s="926"/>
      <c r="AB118" s="926"/>
      <c r="AS118" s="862"/>
      <c r="AT118" s="862"/>
      <c r="AY118" s="862"/>
    </row>
    <row r="119" spans="6:51" ht="13.5" thickBot="1">
      <c r="F119" s="853" t="s">
        <v>663</v>
      </c>
      <c r="G119" s="482"/>
      <c r="H119" s="861">
        <f t="shared" si="37"/>
        <v>173.89676811035906</v>
      </c>
      <c r="L119" s="482"/>
      <c r="M119" s="482"/>
      <c r="N119" s="482"/>
      <c r="O119" s="587" t="s">
        <v>653</v>
      </c>
      <c r="P119" s="482"/>
      <c r="W119" s="926">
        <f t="shared" si="33"/>
        <v>2043</v>
      </c>
      <c r="X119" s="955">
        <f t="shared" si="34"/>
        <v>6.7000000000000004E-2</v>
      </c>
      <c r="Y119" s="955">
        <f t="shared" si="35"/>
        <v>2.2499999999999999E-2</v>
      </c>
      <c r="AA119" s="926"/>
      <c r="AB119" s="926"/>
      <c r="AS119" s="862"/>
      <c r="AT119" s="862"/>
      <c r="AY119" s="862"/>
    </row>
    <row r="120" spans="6:51" ht="13.5" thickBot="1">
      <c r="F120" s="853" t="s">
        <v>664</v>
      </c>
      <c r="G120" s="482"/>
      <c r="H120" s="861">
        <f t="shared" si="37"/>
        <v>163.4629620237375</v>
      </c>
      <c r="L120" s="482"/>
      <c r="M120" s="482"/>
      <c r="N120" s="482"/>
      <c r="O120" s="587" t="s">
        <v>653</v>
      </c>
      <c r="P120" s="482"/>
      <c r="W120" s="926">
        <f t="shared" si="33"/>
        <v>2044</v>
      </c>
      <c r="X120" s="955">
        <f t="shared" si="34"/>
        <v>6.7000000000000004E-2</v>
      </c>
      <c r="Y120" s="955">
        <f t="shared" si="35"/>
        <v>2.2499999999999999E-2</v>
      </c>
      <c r="AA120" s="926"/>
      <c r="AB120" s="926"/>
      <c r="AS120" s="862"/>
      <c r="AT120" s="862"/>
      <c r="AY120" s="862"/>
    </row>
    <row r="121" spans="6:51" ht="13.5" thickBot="1">
      <c r="F121" s="853" t="s">
        <v>665</v>
      </c>
      <c r="G121" s="482"/>
      <c r="H121" s="861">
        <f t="shared" si="37"/>
        <v>153.65518430231324</v>
      </c>
      <c r="L121" s="482"/>
      <c r="M121" s="482"/>
      <c r="N121" s="482"/>
      <c r="O121" s="587" t="s">
        <v>653</v>
      </c>
      <c r="P121" s="482"/>
      <c r="W121" s="926">
        <f t="shared" si="33"/>
        <v>2045</v>
      </c>
      <c r="X121" s="955">
        <f t="shared" si="34"/>
        <v>6.7000000000000004E-2</v>
      </c>
      <c r="Y121" s="955">
        <f t="shared" si="35"/>
        <v>2.2499999999999999E-2</v>
      </c>
      <c r="AA121" s="926"/>
      <c r="AB121" s="926"/>
      <c r="AS121" s="862"/>
      <c r="AT121" s="862"/>
      <c r="AY121" s="862"/>
    </row>
    <row r="122" spans="6:51" ht="13.5" thickBot="1">
      <c r="F122" s="853" t="s">
        <v>666</v>
      </c>
      <c r="G122" s="482"/>
      <c r="H122" s="861">
        <f t="shared" si="37"/>
        <v>144.43587324417445</v>
      </c>
      <c r="L122" s="482"/>
      <c r="M122" s="482"/>
      <c r="N122" s="482"/>
      <c r="O122" s="587" t="s">
        <v>653</v>
      </c>
      <c r="P122" s="482"/>
      <c r="AS122" s="862"/>
      <c r="AT122" s="862"/>
      <c r="AY122" s="862"/>
    </row>
    <row r="123" spans="6:51" ht="13.5" thickBot="1">
      <c r="F123" s="853" t="s">
        <v>667</v>
      </c>
      <c r="G123" s="482"/>
      <c r="H123" s="861">
        <f t="shared" si="37"/>
        <v>135.76972084952396</v>
      </c>
      <c r="L123" s="482"/>
      <c r="M123" s="482"/>
      <c r="N123" s="482"/>
      <c r="O123" s="587" t="s">
        <v>653</v>
      </c>
      <c r="P123" s="482"/>
      <c r="AS123" s="862"/>
      <c r="AT123" s="862"/>
    </row>
    <row r="124" spans="6:51" ht="13.5" thickBot="1">
      <c r="F124" s="853" t="s">
        <v>729</v>
      </c>
      <c r="G124" s="482"/>
      <c r="H124" s="861">
        <f t="shared" si="37"/>
        <v>127.62353759855252</v>
      </c>
      <c r="L124" s="482"/>
      <c r="M124" s="482"/>
      <c r="N124" s="482"/>
      <c r="O124" s="587" t="s">
        <v>653</v>
      </c>
      <c r="P124" s="482"/>
      <c r="AS124" s="862"/>
      <c r="AT124" s="862"/>
    </row>
    <row r="125" spans="6:51">
      <c r="AS125" s="862"/>
      <c r="AT125" s="862"/>
    </row>
    <row r="126" spans="6:51">
      <c r="AS126" s="862"/>
      <c r="AT126" s="862"/>
    </row>
    <row r="127" spans="6:51">
      <c r="AS127" s="862"/>
      <c r="AT127" s="862"/>
    </row>
    <row r="128" spans="6:51">
      <c r="AS128" s="862"/>
      <c r="AT128" s="862"/>
    </row>
    <row r="129" spans="45:46">
      <c r="AS129" s="862"/>
      <c r="AT129" s="862"/>
    </row>
    <row r="130" spans="45:46">
      <c r="AS130" s="862"/>
      <c r="AT130" s="862"/>
    </row>
    <row r="131" spans="45:46">
      <c r="AS131" s="862"/>
      <c r="AT131" s="862"/>
    </row>
    <row r="132" spans="45:46">
      <c r="AS132" s="862"/>
      <c r="AT132" s="862"/>
    </row>
    <row r="133" spans="45:46">
      <c r="AS133" s="862"/>
      <c r="AT133" s="862"/>
    </row>
    <row r="134" spans="45:46">
      <c r="AS134" s="862"/>
      <c r="AT134" s="862"/>
    </row>
    <row r="135" spans="45:46">
      <c r="AS135" s="862"/>
      <c r="AT135" s="862"/>
    </row>
    <row r="136" spans="45:46">
      <c r="AS136" s="862"/>
      <c r="AT136" s="862"/>
    </row>
    <row r="137" spans="45:46">
      <c r="AS137" s="862"/>
      <c r="AT137" s="862"/>
    </row>
    <row r="138" spans="45:46">
      <c r="AS138" s="862"/>
      <c r="AT138" s="862"/>
    </row>
    <row r="139" spans="45:46">
      <c r="AS139" s="862"/>
      <c r="AT139" s="862"/>
    </row>
    <row r="140" spans="45:46">
      <c r="AS140" s="862"/>
      <c r="AT140" s="862"/>
    </row>
    <row r="141" spans="45:46">
      <c r="AS141" s="862"/>
      <c r="AT141" s="862"/>
    </row>
    <row r="142" spans="45:46">
      <c r="AS142" s="862"/>
      <c r="AT142" s="862"/>
    </row>
    <row r="143" spans="45:46">
      <c r="AS143" s="862"/>
      <c r="AT143" s="862"/>
    </row>
    <row r="144" spans="45:46">
      <c r="AS144" s="862"/>
    </row>
  </sheetData>
  <sheetProtection password="CC29" sheet="1" objects="1" scenarios="1"/>
  <mergeCells count="34">
    <mergeCell ref="F83:L83"/>
    <mergeCell ref="F90:N90"/>
    <mergeCell ref="D74:L74"/>
    <mergeCell ref="D75:N75"/>
    <mergeCell ref="C79:O79"/>
    <mergeCell ref="D80:L80"/>
    <mergeCell ref="D81:L81"/>
    <mergeCell ref="D82:N82"/>
    <mergeCell ref="D73:N73"/>
    <mergeCell ref="AQ9:AR9"/>
    <mergeCell ref="AQ10:AR10"/>
    <mergeCell ref="B56:D56"/>
    <mergeCell ref="S57:AQ57"/>
    <mergeCell ref="S58:AQ58"/>
    <mergeCell ref="S59:AR60"/>
    <mergeCell ref="S62:AP63"/>
    <mergeCell ref="S65:AQ65"/>
    <mergeCell ref="B69:P70"/>
    <mergeCell ref="C71:O71"/>
    <mergeCell ref="D72:L72"/>
    <mergeCell ref="AQ6:AR6"/>
    <mergeCell ref="O7:Q7"/>
    <mergeCell ref="Y7:AC7"/>
    <mergeCell ref="AH7:AJ7"/>
    <mergeCell ref="AQ7:AR7"/>
    <mergeCell ref="O8:Q8"/>
    <mergeCell ref="Y8:AC8"/>
    <mergeCell ref="AH8:AJ8"/>
    <mergeCell ref="L1:AM1"/>
    <mergeCell ref="L2:AM2"/>
    <mergeCell ref="L3:AM3"/>
    <mergeCell ref="L4:AM4"/>
    <mergeCell ref="B6:S6"/>
    <mergeCell ref="U6:AO6"/>
  </mergeCells>
  <conditionalFormatting sqref="AQ22">
    <cfRule type="expression" dxfId="127" priority="125" stopIfTrue="1">
      <formula>RiskIsOutput</formula>
    </cfRule>
  </conditionalFormatting>
  <conditionalFormatting sqref="BG22">
    <cfRule type="expression" dxfId="126" priority="126" stopIfTrue="1">
      <formula>RiskIsInput</formula>
    </cfRule>
  </conditionalFormatting>
  <conditionalFormatting sqref="AQ23">
    <cfRule type="expression" dxfId="125" priority="127" stopIfTrue="1">
      <formula>RiskIsOutput</formula>
    </cfRule>
  </conditionalFormatting>
  <conditionalFormatting sqref="BG23">
    <cfRule type="expression" dxfId="124" priority="128" stopIfTrue="1">
      <formula>RiskIsInput</formula>
    </cfRule>
  </conditionalFormatting>
  <conditionalFormatting sqref="AQ24">
    <cfRule type="expression" dxfId="123" priority="129" stopIfTrue="1">
      <formula>RiskIsOutput</formula>
    </cfRule>
  </conditionalFormatting>
  <conditionalFormatting sqref="BG24">
    <cfRule type="expression" dxfId="122" priority="130" stopIfTrue="1">
      <formula>RiskIsInput</formula>
    </cfRule>
  </conditionalFormatting>
  <conditionalFormatting sqref="AQ25">
    <cfRule type="expression" dxfId="121" priority="131" stopIfTrue="1">
      <formula>RiskIsOutput</formula>
    </cfRule>
  </conditionalFormatting>
  <conditionalFormatting sqref="BG25">
    <cfRule type="expression" dxfId="120" priority="132" stopIfTrue="1">
      <formula>RiskIsInput</formula>
    </cfRule>
  </conditionalFormatting>
  <conditionalFormatting sqref="AQ26">
    <cfRule type="expression" dxfId="119" priority="133" stopIfTrue="1">
      <formula>RiskIsOutput</formula>
    </cfRule>
  </conditionalFormatting>
  <conditionalFormatting sqref="BG26">
    <cfRule type="expression" dxfId="118" priority="134" stopIfTrue="1">
      <formula>RiskIsInput</formula>
    </cfRule>
  </conditionalFormatting>
  <conditionalFormatting sqref="AQ27">
    <cfRule type="expression" dxfId="117" priority="135" stopIfTrue="1">
      <formula>RiskIsOutput</formula>
    </cfRule>
  </conditionalFormatting>
  <conditionalFormatting sqref="BG27">
    <cfRule type="expression" dxfId="116" priority="136" stopIfTrue="1">
      <formula>RiskIsInput</formula>
    </cfRule>
  </conditionalFormatting>
  <conditionalFormatting sqref="AQ28">
    <cfRule type="expression" dxfId="115" priority="137" stopIfTrue="1">
      <formula>RiskIsOutput</formula>
    </cfRule>
  </conditionalFormatting>
  <conditionalFormatting sqref="BG28">
    <cfRule type="expression" dxfId="114" priority="138" stopIfTrue="1">
      <formula>RiskIsInput</formula>
    </cfRule>
  </conditionalFormatting>
  <conditionalFormatting sqref="AQ29">
    <cfRule type="expression" dxfId="113" priority="139" stopIfTrue="1">
      <formula>RiskIsOutput</formula>
    </cfRule>
  </conditionalFormatting>
  <conditionalFormatting sqref="BG29">
    <cfRule type="expression" dxfId="112" priority="140" stopIfTrue="1">
      <formula>RiskIsInput</formula>
    </cfRule>
  </conditionalFormatting>
  <conditionalFormatting sqref="AQ30">
    <cfRule type="expression" dxfId="111" priority="141" stopIfTrue="1">
      <formula>RiskIsOutput</formula>
    </cfRule>
  </conditionalFormatting>
  <conditionalFormatting sqref="BG30">
    <cfRule type="expression" dxfId="110" priority="142" stopIfTrue="1">
      <formula>RiskIsInput</formula>
    </cfRule>
  </conditionalFormatting>
  <conditionalFormatting sqref="AQ31">
    <cfRule type="expression" dxfId="109" priority="143" stopIfTrue="1">
      <formula>RiskIsOutput</formula>
    </cfRule>
  </conditionalFormatting>
  <conditionalFormatting sqref="BG31">
    <cfRule type="expression" dxfId="108" priority="144" stopIfTrue="1">
      <formula>RiskIsInput</formula>
    </cfRule>
  </conditionalFormatting>
  <conditionalFormatting sqref="AQ32">
    <cfRule type="expression" dxfId="107" priority="145" stopIfTrue="1">
      <formula>RiskIsOutput</formula>
    </cfRule>
  </conditionalFormatting>
  <conditionalFormatting sqref="BG32">
    <cfRule type="expression" dxfId="106" priority="146" stopIfTrue="1">
      <formula>RiskIsInput</formula>
    </cfRule>
  </conditionalFormatting>
  <conditionalFormatting sqref="AQ33">
    <cfRule type="expression" dxfId="105" priority="147" stopIfTrue="1">
      <formula>RiskIsOutput</formula>
    </cfRule>
  </conditionalFormatting>
  <conditionalFormatting sqref="BG33">
    <cfRule type="expression" dxfId="104" priority="148" stopIfTrue="1">
      <formula>RiskIsInput</formula>
    </cfRule>
  </conditionalFormatting>
  <conditionalFormatting sqref="AQ34">
    <cfRule type="expression" dxfId="103" priority="149" stopIfTrue="1">
      <formula>RiskIsOutput</formula>
    </cfRule>
  </conditionalFormatting>
  <conditionalFormatting sqref="BG34">
    <cfRule type="expression" dxfId="102" priority="150" stopIfTrue="1">
      <formula>RiskIsInput</formula>
    </cfRule>
  </conditionalFormatting>
  <conditionalFormatting sqref="AQ35">
    <cfRule type="expression" dxfId="101" priority="151" stopIfTrue="1">
      <formula>RiskIsOutput</formula>
    </cfRule>
  </conditionalFormatting>
  <conditionalFormatting sqref="BG35">
    <cfRule type="expression" dxfId="100" priority="152" stopIfTrue="1">
      <formula>RiskIsInput</formula>
    </cfRule>
  </conditionalFormatting>
  <conditionalFormatting sqref="AQ36">
    <cfRule type="expression" dxfId="99" priority="153" stopIfTrue="1">
      <formula>RiskIsOutput</formula>
    </cfRule>
  </conditionalFormatting>
  <conditionalFormatting sqref="BG36">
    <cfRule type="expression" dxfId="98" priority="154" stopIfTrue="1">
      <formula>RiskIsInput</formula>
    </cfRule>
  </conditionalFormatting>
  <conditionalFormatting sqref="AQ37">
    <cfRule type="expression" dxfId="97" priority="155" stopIfTrue="1">
      <formula>RiskIsOutput</formula>
    </cfRule>
  </conditionalFormatting>
  <conditionalFormatting sqref="BG37">
    <cfRule type="expression" dxfId="96" priority="156" stopIfTrue="1">
      <formula>RiskIsInput</formula>
    </cfRule>
  </conditionalFormatting>
  <conditionalFormatting sqref="AQ38">
    <cfRule type="expression" dxfId="95" priority="157" stopIfTrue="1">
      <formula>RiskIsOutput</formula>
    </cfRule>
  </conditionalFormatting>
  <conditionalFormatting sqref="BG38">
    <cfRule type="expression" dxfId="94" priority="158" stopIfTrue="1">
      <formula>RiskIsInput</formula>
    </cfRule>
  </conditionalFormatting>
  <conditionalFormatting sqref="AQ39">
    <cfRule type="expression" dxfId="93" priority="159" stopIfTrue="1">
      <formula>RiskIsOutput</formula>
    </cfRule>
  </conditionalFormatting>
  <conditionalFormatting sqref="BG39">
    <cfRule type="expression" dxfId="92" priority="160" stopIfTrue="1">
      <formula>RiskIsInput</formula>
    </cfRule>
  </conditionalFormatting>
  <conditionalFormatting sqref="AQ40">
    <cfRule type="expression" dxfId="91" priority="161" stopIfTrue="1">
      <formula>RiskIsOutput</formula>
    </cfRule>
  </conditionalFormatting>
  <conditionalFormatting sqref="BG40">
    <cfRule type="expression" dxfId="90" priority="162" stopIfTrue="1">
      <formula>RiskIsInput</formula>
    </cfRule>
  </conditionalFormatting>
  <conditionalFormatting sqref="AQ41">
    <cfRule type="expression" dxfId="89" priority="163" stopIfTrue="1">
      <formula>RiskIsOutput</formula>
    </cfRule>
  </conditionalFormatting>
  <conditionalFormatting sqref="BG41">
    <cfRule type="expression" dxfId="88" priority="164" stopIfTrue="1">
      <formula>RiskIsInput</formula>
    </cfRule>
  </conditionalFormatting>
  <conditionalFormatting sqref="AQ42">
    <cfRule type="expression" dxfId="87" priority="165" stopIfTrue="1">
      <formula>RiskIsOutput</formula>
    </cfRule>
  </conditionalFormatting>
  <conditionalFormatting sqref="BG42">
    <cfRule type="expression" dxfId="86" priority="166" stopIfTrue="1">
      <formula>RiskIsInput</formula>
    </cfRule>
  </conditionalFormatting>
  <conditionalFormatting sqref="AQ43">
    <cfRule type="expression" dxfId="85" priority="167" stopIfTrue="1">
      <formula>RiskIsOutput</formula>
    </cfRule>
  </conditionalFormatting>
  <conditionalFormatting sqref="BG43">
    <cfRule type="expression" dxfId="84" priority="168" stopIfTrue="1">
      <formula>RiskIsInput</formula>
    </cfRule>
  </conditionalFormatting>
  <conditionalFormatting sqref="AQ44">
    <cfRule type="expression" dxfId="83" priority="169" stopIfTrue="1">
      <formula>RiskIsOutput</formula>
    </cfRule>
  </conditionalFormatting>
  <conditionalFormatting sqref="BG44">
    <cfRule type="expression" dxfId="82" priority="170" stopIfTrue="1">
      <formula>RiskIsInput</formula>
    </cfRule>
  </conditionalFormatting>
  <conditionalFormatting sqref="AQ45">
    <cfRule type="expression" dxfId="81" priority="171" stopIfTrue="1">
      <formula>RiskIsOutput</formula>
    </cfRule>
  </conditionalFormatting>
  <conditionalFormatting sqref="BG45">
    <cfRule type="expression" dxfId="80" priority="172" stopIfTrue="1">
      <formula>RiskIsInput</formula>
    </cfRule>
  </conditionalFormatting>
  <conditionalFormatting sqref="AQ46">
    <cfRule type="expression" dxfId="79" priority="173" stopIfTrue="1">
      <formula>RiskIsOutput</formula>
    </cfRule>
  </conditionalFormatting>
  <conditionalFormatting sqref="BG46">
    <cfRule type="expression" dxfId="78" priority="174" stopIfTrue="1">
      <formula>RiskIsInput</formula>
    </cfRule>
  </conditionalFormatting>
  <conditionalFormatting sqref="AQ47">
    <cfRule type="expression" dxfId="77" priority="175" stopIfTrue="1">
      <formula>RiskIsOutput</formula>
    </cfRule>
  </conditionalFormatting>
  <conditionalFormatting sqref="BG47">
    <cfRule type="expression" dxfId="76" priority="176" stopIfTrue="1">
      <formula>RiskIsInput</formula>
    </cfRule>
  </conditionalFormatting>
  <conditionalFormatting sqref="AQ48">
    <cfRule type="expression" dxfId="75" priority="177" stopIfTrue="1">
      <formula>RiskIsOutput</formula>
    </cfRule>
  </conditionalFormatting>
  <conditionalFormatting sqref="BG48">
    <cfRule type="expression" dxfId="74" priority="178" stopIfTrue="1">
      <formula>RiskIsInput</formula>
    </cfRule>
  </conditionalFormatting>
  <conditionalFormatting sqref="AQ49">
    <cfRule type="expression" dxfId="73" priority="179" stopIfTrue="1">
      <formula>RiskIsOutput</formula>
    </cfRule>
  </conditionalFormatting>
  <conditionalFormatting sqref="BG49">
    <cfRule type="expression" dxfId="72" priority="180" stopIfTrue="1">
      <formula>RiskIsInput</formula>
    </cfRule>
  </conditionalFormatting>
  <conditionalFormatting sqref="AQ50">
    <cfRule type="expression" dxfId="71" priority="181" stopIfTrue="1">
      <formula>RiskIsOutput</formula>
    </cfRule>
  </conditionalFormatting>
  <conditionalFormatting sqref="BG50">
    <cfRule type="expression" dxfId="70" priority="182" stopIfTrue="1">
      <formula>RiskIsInput</formula>
    </cfRule>
  </conditionalFormatting>
  <conditionalFormatting sqref="AQ51">
    <cfRule type="expression" dxfId="69" priority="183" stopIfTrue="1">
      <formula>RiskIsOutput</formula>
    </cfRule>
  </conditionalFormatting>
  <conditionalFormatting sqref="BG51">
    <cfRule type="expression" dxfId="68" priority="184" stopIfTrue="1">
      <formula>RiskIsInput</formula>
    </cfRule>
  </conditionalFormatting>
  <conditionalFormatting sqref="AQ52">
    <cfRule type="expression" dxfId="67" priority="185" stopIfTrue="1">
      <formula>RiskIsOutput</formula>
    </cfRule>
  </conditionalFormatting>
  <conditionalFormatting sqref="BG52">
    <cfRule type="expression" dxfId="66" priority="186" stopIfTrue="1">
      <formula>RiskIsInput</formula>
    </cfRule>
  </conditionalFormatting>
  <conditionalFormatting sqref="X91">
    <cfRule type="expression" dxfId="65" priority="63" stopIfTrue="1">
      <formula>RiskIsInput</formula>
    </cfRule>
  </conditionalFormatting>
  <conditionalFormatting sqref="Y91">
    <cfRule type="expression" dxfId="64" priority="64" stopIfTrue="1">
      <formula>RiskIsInput</formula>
    </cfRule>
  </conditionalFormatting>
  <conditionalFormatting sqref="X92:X121">
    <cfRule type="expression" dxfId="63" priority="65" stopIfTrue="1">
      <formula>RiskIsInput</formula>
    </cfRule>
  </conditionalFormatting>
  <conditionalFormatting sqref="Y92:Y121">
    <cfRule type="expression" dxfId="62" priority="66" stopIfTrue="1">
      <formula>RiskIsInput</formula>
    </cfRule>
  </conditionalFormatting>
  <conditionalFormatting sqref="AA91">
    <cfRule type="expression" dxfId="61" priority="1" stopIfTrue="1">
      <formula>RiskIsInput</formula>
    </cfRule>
  </conditionalFormatting>
  <conditionalFormatting sqref="AB91">
    <cfRule type="expression" dxfId="60" priority="2" stopIfTrue="1">
      <formula>RiskIsInput</formula>
    </cfRule>
  </conditionalFormatting>
  <conditionalFormatting sqref="AA92">
    <cfRule type="expression" dxfId="59" priority="3" stopIfTrue="1">
      <formula>RiskIsInput</formula>
    </cfRule>
  </conditionalFormatting>
  <conditionalFormatting sqref="AB92">
    <cfRule type="expression" dxfId="58" priority="4" stopIfTrue="1">
      <formula>RiskIsInput</formula>
    </cfRule>
  </conditionalFormatting>
  <conditionalFormatting sqref="AA93">
    <cfRule type="expression" dxfId="57" priority="5" stopIfTrue="1">
      <formula>RiskIsInput</formula>
    </cfRule>
  </conditionalFormatting>
  <conditionalFormatting sqref="AB93">
    <cfRule type="expression" dxfId="56" priority="6" stopIfTrue="1">
      <formula>RiskIsInput</formula>
    </cfRule>
  </conditionalFormatting>
  <conditionalFormatting sqref="AA94">
    <cfRule type="expression" dxfId="55" priority="7" stopIfTrue="1">
      <formula>RiskIsInput</formula>
    </cfRule>
  </conditionalFormatting>
  <conditionalFormatting sqref="AB94">
    <cfRule type="expression" dxfId="54" priority="8" stopIfTrue="1">
      <formula>RiskIsInput</formula>
    </cfRule>
  </conditionalFormatting>
  <conditionalFormatting sqref="AA95">
    <cfRule type="expression" dxfId="53" priority="9" stopIfTrue="1">
      <formula>RiskIsInput</formula>
    </cfRule>
  </conditionalFormatting>
  <conditionalFormatting sqref="AB95">
    <cfRule type="expression" dxfId="52" priority="10" stopIfTrue="1">
      <formula>RiskIsInput</formula>
    </cfRule>
  </conditionalFormatting>
  <conditionalFormatting sqref="AA96">
    <cfRule type="expression" dxfId="51" priority="11" stopIfTrue="1">
      <formula>RiskIsInput</formula>
    </cfRule>
  </conditionalFormatting>
  <conditionalFormatting sqref="AB96">
    <cfRule type="expression" dxfId="50" priority="12" stopIfTrue="1">
      <formula>RiskIsInput</formula>
    </cfRule>
  </conditionalFormatting>
  <conditionalFormatting sqref="AA97">
    <cfRule type="expression" dxfId="49" priority="13" stopIfTrue="1">
      <formula>RiskIsInput</formula>
    </cfRule>
  </conditionalFormatting>
  <conditionalFormatting sqref="AB97">
    <cfRule type="expression" dxfId="48" priority="14" stopIfTrue="1">
      <formula>RiskIsInput</formula>
    </cfRule>
  </conditionalFormatting>
  <conditionalFormatting sqref="AA98">
    <cfRule type="expression" dxfId="47" priority="15" stopIfTrue="1">
      <formula>RiskIsInput</formula>
    </cfRule>
  </conditionalFormatting>
  <conditionalFormatting sqref="AB98">
    <cfRule type="expression" dxfId="46" priority="16" stopIfTrue="1">
      <formula>RiskIsInput</formula>
    </cfRule>
  </conditionalFormatting>
  <conditionalFormatting sqref="AA99">
    <cfRule type="expression" dxfId="45" priority="17" stopIfTrue="1">
      <formula>RiskIsInput</formula>
    </cfRule>
  </conditionalFormatting>
  <conditionalFormatting sqref="AB99">
    <cfRule type="expression" dxfId="44" priority="18" stopIfTrue="1">
      <formula>RiskIsInput</formula>
    </cfRule>
  </conditionalFormatting>
  <conditionalFormatting sqref="AA100">
    <cfRule type="expression" dxfId="43" priority="19" stopIfTrue="1">
      <formula>RiskIsInput</formula>
    </cfRule>
  </conditionalFormatting>
  <conditionalFormatting sqref="AB100">
    <cfRule type="expression" dxfId="42" priority="20" stopIfTrue="1">
      <formula>RiskIsInput</formula>
    </cfRule>
  </conditionalFormatting>
  <conditionalFormatting sqref="AA101">
    <cfRule type="expression" dxfId="41" priority="21" stopIfTrue="1">
      <formula>RiskIsInput</formula>
    </cfRule>
  </conditionalFormatting>
  <conditionalFormatting sqref="AB101">
    <cfRule type="expression" dxfId="40" priority="22" stopIfTrue="1">
      <formula>RiskIsInput</formula>
    </cfRule>
  </conditionalFormatting>
  <conditionalFormatting sqref="AA102">
    <cfRule type="expression" dxfId="39" priority="23" stopIfTrue="1">
      <formula>RiskIsInput</formula>
    </cfRule>
  </conditionalFormatting>
  <conditionalFormatting sqref="AB102">
    <cfRule type="expression" dxfId="38" priority="24" stopIfTrue="1">
      <formula>RiskIsInput</formula>
    </cfRule>
  </conditionalFormatting>
  <conditionalFormatting sqref="AA103">
    <cfRule type="expression" dxfId="37" priority="25" stopIfTrue="1">
      <formula>RiskIsInput</formula>
    </cfRule>
  </conditionalFormatting>
  <conditionalFormatting sqref="AB103">
    <cfRule type="expression" dxfId="36" priority="26" stopIfTrue="1">
      <formula>RiskIsInput</formula>
    </cfRule>
  </conditionalFormatting>
  <conditionalFormatting sqref="AA104">
    <cfRule type="expression" dxfId="35" priority="27" stopIfTrue="1">
      <formula>RiskIsInput</formula>
    </cfRule>
  </conditionalFormatting>
  <conditionalFormatting sqref="AB104">
    <cfRule type="expression" dxfId="34" priority="28" stopIfTrue="1">
      <formula>RiskIsInput</formula>
    </cfRule>
  </conditionalFormatting>
  <conditionalFormatting sqref="AA105">
    <cfRule type="expression" dxfId="33" priority="29" stopIfTrue="1">
      <formula>RiskIsInput</formula>
    </cfRule>
  </conditionalFormatting>
  <conditionalFormatting sqref="AB105">
    <cfRule type="expression" dxfId="32" priority="30" stopIfTrue="1">
      <formula>RiskIsInput</formula>
    </cfRule>
  </conditionalFormatting>
  <conditionalFormatting sqref="AA106">
    <cfRule type="expression" dxfId="31" priority="31" stopIfTrue="1">
      <formula>RiskIsInput</formula>
    </cfRule>
  </conditionalFormatting>
  <conditionalFormatting sqref="AB106">
    <cfRule type="expression" dxfId="30" priority="32" stopIfTrue="1">
      <formula>RiskIsInput</formula>
    </cfRule>
  </conditionalFormatting>
  <conditionalFormatting sqref="AA107">
    <cfRule type="expression" dxfId="29" priority="33" stopIfTrue="1">
      <formula>RiskIsInput</formula>
    </cfRule>
  </conditionalFormatting>
  <conditionalFormatting sqref="AB107">
    <cfRule type="expression" dxfId="28" priority="34" stopIfTrue="1">
      <formula>RiskIsInput</formula>
    </cfRule>
  </conditionalFormatting>
  <conditionalFormatting sqref="AA108">
    <cfRule type="expression" dxfId="27" priority="35" stopIfTrue="1">
      <formula>RiskIsInput</formula>
    </cfRule>
  </conditionalFormatting>
  <conditionalFormatting sqref="AB108">
    <cfRule type="expression" dxfId="26" priority="36" stopIfTrue="1">
      <formula>RiskIsInput</formula>
    </cfRule>
  </conditionalFormatting>
  <conditionalFormatting sqref="AA109">
    <cfRule type="expression" dxfId="25" priority="37" stopIfTrue="1">
      <formula>RiskIsInput</formula>
    </cfRule>
  </conditionalFormatting>
  <conditionalFormatting sqref="AB109">
    <cfRule type="expression" dxfId="24" priority="38" stopIfTrue="1">
      <formula>RiskIsInput</formula>
    </cfRule>
  </conditionalFormatting>
  <conditionalFormatting sqref="AA110">
    <cfRule type="expression" dxfId="23" priority="39" stopIfTrue="1">
      <formula>RiskIsInput</formula>
    </cfRule>
  </conditionalFormatting>
  <conditionalFormatting sqref="AB110">
    <cfRule type="expression" dxfId="22" priority="40" stopIfTrue="1">
      <formula>RiskIsInput</formula>
    </cfRule>
  </conditionalFormatting>
  <conditionalFormatting sqref="AA111">
    <cfRule type="expression" dxfId="21" priority="41" stopIfTrue="1">
      <formula>RiskIsInput</formula>
    </cfRule>
  </conditionalFormatting>
  <conditionalFormatting sqref="AB111">
    <cfRule type="expression" dxfId="20" priority="42" stopIfTrue="1">
      <formula>RiskIsInput</formula>
    </cfRule>
  </conditionalFormatting>
  <conditionalFormatting sqref="AA112">
    <cfRule type="expression" dxfId="19" priority="43" stopIfTrue="1">
      <formula>RiskIsInput</formula>
    </cfRule>
  </conditionalFormatting>
  <conditionalFormatting sqref="AB112">
    <cfRule type="expression" dxfId="18" priority="44" stopIfTrue="1">
      <formula>RiskIsInput</formula>
    </cfRule>
  </conditionalFormatting>
  <conditionalFormatting sqref="AA113">
    <cfRule type="expression" dxfId="17" priority="45" stopIfTrue="1">
      <formula>RiskIsInput</formula>
    </cfRule>
  </conditionalFormatting>
  <conditionalFormatting sqref="AB113">
    <cfRule type="expression" dxfId="16" priority="46" stopIfTrue="1">
      <formula>RiskIsInput</formula>
    </cfRule>
  </conditionalFormatting>
  <conditionalFormatting sqref="AA114">
    <cfRule type="expression" dxfId="15" priority="47" stopIfTrue="1">
      <formula>RiskIsInput</formula>
    </cfRule>
  </conditionalFormatting>
  <conditionalFormatting sqref="AB114">
    <cfRule type="expression" dxfId="14" priority="48" stopIfTrue="1">
      <formula>RiskIsInput</formula>
    </cfRule>
  </conditionalFormatting>
  <conditionalFormatting sqref="AA115">
    <cfRule type="expression" dxfId="13" priority="49" stopIfTrue="1">
      <formula>RiskIsInput</formula>
    </cfRule>
  </conditionalFormatting>
  <conditionalFormatting sqref="AB115">
    <cfRule type="expression" dxfId="12" priority="50" stopIfTrue="1">
      <formula>RiskIsInput</formula>
    </cfRule>
  </conditionalFormatting>
  <conditionalFormatting sqref="AA116">
    <cfRule type="expression" dxfId="11" priority="51" stopIfTrue="1">
      <formula>RiskIsInput</formula>
    </cfRule>
  </conditionalFormatting>
  <conditionalFormatting sqref="AB116">
    <cfRule type="expression" dxfId="10" priority="52" stopIfTrue="1">
      <formula>RiskIsInput</formula>
    </cfRule>
  </conditionalFormatting>
  <conditionalFormatting sqref="AA117">
    <cfRule type="expression" dxfId="9" priority="53" stopIfTrue="1">
      <formula>RiskIsInput</formula>
    </cfRule>
  </conditionalFormatting>
  <conditionalFormatting sqref="AB117">
    <cfRule type="expression" dxfId="8" priority="54" stopIfTrue="1">
      <formula>RiskIsInput</formula>
    </cfRule>
  </conditionalFormatting>
  <conditionalFormatting sqref="AA118">
    <cfRule type="expression" dxfId="7" priority="55" stopIfTrue="1">
      <formula>RiskIsInput</formula>
    </cfRule>
  </conditionalFormatting>
  <conditionalFormatting sqref="AB118">
    <cfRule type="expression" dxfId="6" priority="56" stopIfTrue="1">
      <formula>RiskIsInput</formula>
    </cfRule>
  </conditionalFormatting>
  <conditionalFormatting sqref="AA119">
    <cfRule type="expression" dxfId="5" priority="57" stopIfTrue="1">
      <formula>RiskIsInput</formula>
    </cfRule>
  </conditionalFormatting>
  <conditionalFormatting sqref="AB119">
    <cfRule type="expression" dxfId="4" priority="58" stopIfTrue="1">
      <formula>RiskIsInput</formula>
    </cfRule>
  </conditionalFormatting>
  <conditionalFormatting sqref="AA120">
    <cfRule type="expression" dxfId="3" priority="59" stopIfTrue="1">
      <formula>RiskIsInput</formula>
    </cfRule>
  </conditionalFormatting>
  <conditionalFormatting sqref="AB120">
    <cfRule type="expression" dxfId="2" priority="60" stopIfTrue="1">
      <formula>RiskIsInput</formula>
    </cfRule>
  </conditionalFormatting>
  <conditionalFormatting sqref="AA121">
    <cfRule type="expression" dxfId="1" priority="61" stopIfTrue="1">
      <formula>RiskIsInput</formula>
    </cfRule>
  </conditionalFormatting>
  <conditionalFormatting sqref="AB121">
    <cfRule type="expression" dxfId="0" priority="62" stopIfTrue="1">
      <formula>RiskIsInput</formula>
    </cfRule>
  </conditionalFormatting>
  <hyperlinks>
    <hyperlink ref="F90" r:id="rId1"/>
  </hyperlinks>
  <printOptions horizontalCentered="1"/>
  <pageMargins left="0" right="0" top="0" bottom="0" header="0" footer="0"/>
  <pageSetup scale="70" orientation="landscape" r:id="rId2"/>
  <headerFooter alignWithMargins="0"/>
  <drawing r:id="rId3"/>
  <legacyDrawing r:id="rId4"/>
  <oleObjects>
    <mc:AlternateContent xmlns:mc="http://schemas.openxmlformats.org/markup-compatibility/2006">
      <mc:Choice Requires="x14">
        <oleObject progId="MSPhotoEd.3" shapeId="51201" r:id="rId5">
          <objectPr defaultSize="0" autoPict="0" r:id="rId6">
            <anchor moveWithCells="1">
              <from>
                <xdr:col>6</xdr:col>
                <xdr:colOff>57150</xdr:colOff>
                <xdr:row>0</xdr:row>
                <xdr:rowOff>47625</xdr:rowOff>
              </from>
              <to>
                <xdr:col>9</xdr:col>
                <xdr:colOff>257175</xdr:colOff>
                <xdr:row>3</xdr:row>
                <xdr:rowOff>142875</xdr:rowOff>
              </to>
            </anchor>
          </objectPr>
        </oleObject>
      </mc:Choice>
      <mc:Fallback>
        <oleObject progId="MSPhotoEd.3" shapeId="51201" r:id="rId5"/>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P86"/>
  <sheetViews>
    <sheetView topLeftCell="A22" workbookViewId="0">
      <selection activeCell="B6" sqref="B6:S6"/>
    </sheetView>
  </sheetViews>
  <sheetFormatPr defaultRowHeight="15"/>
  <cols>
    <col min="1" max="1" width="18.42578125" customWidth="1"/>
    <col min="2" max="7" width="9.7109375" bestFit="1" customWidth="1"/>
    <col min="8" max="8" width="9.5703125" customWidth="1"/>
    <col min="9" max="10" width="9.7109375" bestFit="1" customWidth="1"/>
    <col min="11" max="11" width="12" bestFit="1" customWidth="1"/>
  </cols>
  <sheetData>
    <row r="1" spans="1:16">
      <c r="B1" t="str">
        <f>B8</f>
        <v>FY 2016</v>
      </c>
      <c r="C1" t="str">
        <f t="shared" ref="C1:P1" si="0">C8</f>
        <v>FY 2017</v>
      </c>
      <c r="D1" t="str">
        <f t="shared" si="0"/>
        <v>FY 2018</v>
      </c>
      <c r="E1" t="str">
        <f t="shared" si="0"/>
        <v>FY 2019</v>
      </c>
      <c r="F1" t="str">
        <f t="shared" si="0"/>
        <v>FY 2020</v>
      </c>
      <c r="G1" t="str">
        <f t="shared" si="0"/>
        <v>FY 2021</v>
      </c>
      <c r="H1" t="str">
        <f t="shared" si="0"/>
        <v>FY 2022</v>
      </c>
      <c r="I1" t="str">
        <f t="shared" si="0"/>
        <v>FY 2023</v>
      </c>
      <c r="J1" t="str">
        <f t="shared" si="0"/>
        <v>FY 2024</v>
      </c>
      <c r="K1" t="str">
        <f t="shared" si="0"/>
        <v>FY 2025</v>
      </c>
      <c r="L1" t="str">
        <f t="shared" si="0"/>
        <v>FY 2026</v>
      </c>
      <c r="M1" t="str">
        <f t="shared" si="0"/>
        <v>FY 2027</v>
      </c>
      <c r="N1" t="str">
        <f t="shared" si="0"/>
        <v>FY 2028</v>
      </c>
      <c r="O1" t="str">
        <f t="shared" si="0"/>
        <v>FY 2029</v>
      </c>
      <c r="P1" t="str">
        <f t="shared" si="0"/>
        <v>FY 2030</v>
      </c>
    </row>
    <row r="2" spans="1:16">
      <c r="A2">
        <f>INDEX(A9:A20,'All Rev &amp; Projects'!$A$228)</f>
        <v>70</v>
      </c>
      <c r="B2">
        <f>INDEX(B9:B20,'All Rev &amp; Projects'!$A$228)</f>
        <v>2311.4</v>
      </c>
      <c r="C2">
        <f>INDEX(C9:C20,'All Rev &amp; Projects'!$A$228)</f>
        <v>2371.4</v>
      </c>
      <c r="D2">
        <f>INDEX(D9:D20,'All Rev &amp; Projects'!$A$228)</f>
        <v>2346.4</v>
      </c>
      <c r="E2">
        <f>INDEX(E9:E20,'All Rev &amp; Projects'!$A$228)</f>
        <v>2263.6</v>
      </c>
      <c r="F2">
        <f>INDEX(F9:F20,'All Rev &amp; Projects'!$A$228)</f>
        <v>2197.3000000000002</v>
      </c>
      <c r="G2">
        <f>INDEX(G9:G20,'All Rev &amp; Projects'!$A$228)</f>
        <v>2124.6</v>
      </c>
      <c r="H2">
        <f>INDEX(H9:H20,'All Rev &amp; Projects'!$A$228)</f>
        <v>2043.3</v>
      </c>
      <c r="I2">
        <f>INDEX(I9:I20,'All Rev &amp; Projects'!$A$228)</f>
        <v>1979.3</v>
      </c>
      <c r="J2">
        <f>INDEX(J9:J20,'All Rev &amp; Projects'!$A$228)</f>
        <v>1903</v>
      </c>
      <c r="K2">
        <f>INDEX(K9:K20,'All Rev &amp; Projects'!$A$228)</f>
        <v>1827.3</v>
      </c>
      <c r="L2">
        <f>INDEX(L9:L20,'All Rev &amp; Projects'!$A$228)</f>
        <v>1749.2</v>
      </c>
      <c r="M2">
        <f>INDEX(M9:M20,'All Rev &amp; Projects'!$A$228)</f>
        <v>1665.5</v>
      </c>
      <c r="N2">
        <f>INDEX(N9:N20,'All Rev &amp; Projects'!$A$228)</f>
        <v>1632</v>
      </c>
      <c r="O2">
        <f>INDEX(O9:O20,'All Rev &amp; Projects'!$A$228)</f>
        <v>1604</v>
      </c>
      <c r="P2">
        <f>INDEX(P9:P20,'All Rev &amp; Projects'!$A$228)</f>
        <v>1528.4</v>
      </c>
    </row>
    <row r="4" spans="1:16" ht="17.25" customHeight="1">
      <c r="A4" s="398" t="s">
        <v>694</v>
      </c>
    </row>
    <row r="5" spans="1:16">
      <c r="A5" t="s">
        <v>695</v>
      </c>
    </row>
    <row r="7" spans="1:16" ht="18.75">
      <c r="A7" s="398" t="s">
        <v>696</v>
      </c>
    </row>
    <row r="8" spans="1:16">
      <c r="A8" s="399" t="s">
        <v>511</v>
      </c>
      <c r="B8" s="866" t="s">
        <v>2</v>
      </c>
      <c r="C8" s="866" t="s">
        <v>3</v>
      </c>
      <c r="D8" s="866" t="s">
        <v>4</v>
      </c>
      <c r="E8" s="866" t="s">
        <v>5</v>
      </c>
      <c r="F8" s="866" t="s">
        <v>6</v>
      </c>
      <c r="G8" s="866" t="s">
        <v>7</v>
      </c>
      <c r="H8" s="866" t="s">
        <v>8</v>
      </c>
      <c r="I8" s="866" t="s">
        <v>9</v>
      </c>
      <c r="J8" s="866" t="s">
        <v>21</v>
      </c>
      <c r="K8" s="867" t="s">
        <v>35</v>
      </c>
      <c r="L8" s="866" t="s">
        <v>36</v>
      </c>
      <c r="M8" s="866" t="s">
        <v>37</v>
      </c>
      <c r="N8" s="867" t="s">
        <v>38</v>
      </c>
      <c r="O8" s="866" t="s">
        <v>39</v>
      </c>
      <c r="P8" s="866" t="s">
        <v>40</v>
      </c>
    </row>
    <row r="9" spans="1:16">
      <c r="A9" s="402" t="s">
        <v>512</v>
      </c>
      <c r="B9" s="868">
        <v>2198.1999999999998</v>
      </c>
      <c r="C9" s="868">
        <v>3174.9</v>
      </c>
      <c r="D9" s="868">
        <v>3240.6</v>
      </c>
      <c r="E9" s="868">
        <v>3788.3</v>
      </c>
      <c r="F9" s="868">
        <v>4535.2</v>
      </c>
      <c r="G9" s="868">
        <v>4435.1000000000004</v>
      </c>
      <c r="H9" s="868">
        <v>4260.7</v>
      </c>
      <c r="I9" s="868">
        <v>4265.8999999999996</v>
      </c>
      <c r="J9" s="869">
        <v>4218</v>
      </c>
      <c r="K9" s="870">
        <v>4054.5</v>
      </c>
      <c r="L9">
        <v>3828.2</v>
      </c>
      <c r="M9">
        <v>3636.5</v>
      </c>
      <c r="N9">
        <v>3484.6</v>
      </c>
      <c r="O9">
        <v>3319.9</v>
      </c>
      <c r="P9">
        <v>3184.8</v>
      </c>
    </row>
    <row r="10" spans="1:16">
      <c r="A10" s="406">
        <v>40</v>
      </c>
      <c r="B10" s="407">
        <v>1540.1</v>
      </c>
      <c r="C10" s="407">
        <v>1421</v>
      </c>
      <c r="D10" s="407">
        <v>1433.3</v>
      </c>
      <c r="E10" s="407">
        <v>1411.3</v>
      </c>
      <c r="F10" s="407">
        <v>1396.4</v>
      </c>
      <c r="G10" s="407">
        <v>1375</v>
      </c>
      <c r="H10" s="407">
        <v>1351.6</v>
      </c>
      <c r="I10" s="407">
        <v>1342.4</v>
      </c>
      <c r="J10" s="407">
        <v>1323.8</v>
      </c>
      <c r="K10" s="408">
        <v>1306.5</v>
      </c>
      <c r="L10">
        <v>1281.3</v>
      </c>
      <c r="M10">
        <v>1261.3</v>
      </c>
      <c r="N10">
        <v>1244</v>
      </c>
      <c r="O10">
        <v>1229.8</v>
      </c>
      <c r="P10">
        <v>1218.5999999999999</v>
      </c>
    </row>
    <row r="11" spans="1:16">
      <c r="A11" s="406">
        <v>50</v>
      </c>
      <c r="B11" s="407">
        <v>1790.7</v>
      </c>
      <c r="C11" s="407">
        <v>1811.4</v>
      </c>
      <c r="D11" s="407">
        <v>1821.7</v>
      </c>
      <c r="E11" s="407">
        <v>1741.4</v>
      </c>
      <c r="F11" s="407">
        <v>1682.7</v>
      </c>
      <c r="G11" s="407">
        <v>1630.5</v>
      </c>
      <c r="H11" s="407">
        <v>1519.2</v>
      </c>
      <c r="I11" s="407">
        <v>1484.1</v>
      </c>
      <c r="J11" s="407">
        <v>1456.5</v>
      </c>
      <c r="K11" s="408">
        <v>1429.3</v>
      </c>
      <c r="L11">
        <v>1395</v>
      </c>
      <c r="M11">
        <v>1367.3</v>
      </c>
      <c r="N11">
        <v>1343.4</v>
      </c>
      <c r="O11">
        <v>1323</v>
      </c>
      <c r="P11">
        <v>1306.5999999999999</v>
      </c>
    </row>
    <row r="12" spans="1:16">
      <c r="A12" s="406">
        <v>60</v>
      </c>
      <c r="B12" s="407">
        <v>2029.6</v>
      </c>
      <c r="C12" s="407">
        <v>2103</v>
      </c>
      <c r="D12" s="407">
        <v>2078.1</v>
      </c>
      <c r="E12" s="407">
        <v>2010.2</v>
      </c>
      <c r="F12" s="407">
        <v>1952.6</v>
      </c>
      <c r="G12" s="407">
        <v>1860.8</v>
      </c>
      <c r="H12" s="407">
        <v>1819.4</v>
      </c>
      <c r="I12" s="407">
        <v>1778.7</v>
      </c>
      <c r="J12" s="407">
        <v>1727.2</v>
      </c>
      <c r="K12" s="408">
        <v>1663.8</v>
      </c>
      <c r="L12">
        <v>1590.9</v>
      </c>
      <c r="M12">
        <v>1502.8</v>
      </c>
      <c r="N12">
        <v>1463.4</v>
      </c>
      <c r="O12">
        <v>1426.8</v>
      </c>
      <c r="P12">
        <v>1394.5</v>
      </c>
    </row>
    <row r="13" spans="1:16">
      <c r="A13" s="406">
        <v>70</v>
      </c>
      <c r="B13" s="407">
        <v>2311.4</v>
      </c>
      <c r="C13" s="407">
        <v>2371.4</v>
      </c>
      <c r="D13" s="407">
        <v>2346.4</v>
      </c>
      <c r="E13" s="407">
        <v>2263.6</v>
      </c>
      <c r="F13" s="407">
        <v>2197.3000000000002</v>
      </c>
      <c r="G13" s="407">
        <v>2124.6</v>
      </c>
      <c r="H13" s="407">
        <v>2043.3</v>
      </c>
      <c r="I13" s="407">
        <v>1979.3</v>
      </c>
      <c r="J13" s="407">
        <v>1903</v>
      </c>
      <c r="K13" s="408">
        <v>1827.3</v>
      </c>
      <c r="L13">
        <v>1749.2</v>
      </c>
      <c r="M13">
        <v>1665.5</v>
      </c>
      <c r="N13">
        <v>1632</v>
      </c>
      <c r="O13">
        <v>1604</v>
      </c>
      <c r="P13">
        <v>1528.4</v>
      </c>
    </row>
    <row r="14" spans="1:16">
      <c r="A14" s="406">
        <v>80</v>
      </c>
      <c r="B14" s="407">
        <v>2592.6</v>
      </c>
      <c r="C14" s="407">
        <v>2692.3</v>
      </c>
      <c r="D14" s="407">
        <v>2677.7</v>
      </c>
      <c r="E14" s="407">
        <v>2571.8000000000002</v>
      </c>
      <c r="F14" s="407">
        <v>2491.1999999999998</v>
      </c>
      <c r="G14" s="407">
        <v>2362.9</v>
      </c>
      <c r="H14" s="407">
        <v>2266.3000000000002</v>
      </c>
      <c r="I14" s="407">
        <v>2184.1</v>
      </c>
      <c r="J14" s="407">
        <v>2091.3000000000002</v>
      </c>
      <c r="K14" s="408">
        <v>1998.7</v>
      </c>
      <c r="L14">
        <v>1909.6</v>
      </c>
      <c r="M14">
        <v>1835</v>
      </c>
      <c r="N14">
        <v>1773.4</v>
      </c>
      <c r="O14">
        <v>1717.1</v>
      </c>
      <c r="P14">
        <v>1642.3</v>
      </c>
    </row>
    <row r="15" spans="1:16">
      <c r="A15" s="406">
        <v>90</v>
      </c>
      <c r="B15" s="407">
        <v>3388.2</v>
      </c>
      <c r="C15" s="407">
        <v>3569.3</v>
      </c>
      <c r="D15" s="407">
        <v>3401.3</v>
      </c>
      <c r="E15" s="407">
        <v>3151</v>
      </c>
      <c r="F15" s="407">
        <v>3045</v>
      </c>
      <c r="G15" s="407">
        <v>2763.9</v>
      </c>
      <c r="H15" s="407">
        <v>2582.9</v>
      </c>
      <c r="I15" s="407">
        <v>2462.1999999999998</v>
      </c>
      <c r="J15" s="407">
        <v>2316.9</v>
      </c>
      <c r="K15" s="408">
        <v>2208.5</v>
      </c>
      <c r="L15">
        <v>2088</v>
      </c>
      <c r="M15">
        <v>1986.5</v>
      </c>
      <c r="N15">
        <v>1909.8</v>
      </c>
      <c r="O15">
        <v>1841.9</v>
      </c>
      <c r="P15">
        <v>1784.5</v>
      </c>
    </row>
    <row r="16" spans="1:16">
      <c r="A16" s="406">
        <v>100</v>
      </c>
      <c r="B16" s="407">
        <v>4268.2</v>
      </c>
      <c r="C16" s="407">
        <v>4478.8</v>
      </c>
      <c r="D16" s="407">
        <v>4273</v>
      </c>
      <c r="E16" s="407">
        <v>3959.7</v>
      </c>
      <c r="F16" s="407">
        <v>3798.3</v>
      </c>
      <c r="G16" s="407">
        <v>3460.6</v>
      </c>
      <c r="H16" s="407">
        <v>3226.8</v>
      </c>
      <c r="I16" s="407">
        <v>3056.7</v>
      </c>
      <c r="J16" s="407">
        <v>2853.4</v>
      </c>
      <c r="K16" s="408">
        <v>2655.9</v>
      </c>
      <c r="L16">
        <v>2446.6</v>
      </c>
      <c r="M16">
        <v>2270</v>
      </c>
      <c r="N16">
        <v>2102</v>
      </c>
      <c r="O16">
        <v>1991.4</v>
      </c>
      <c r="P16">
        <v>1911.7</v>
      </c>
    </row>
    <row r="17" spans="1:16">
      <c r="A17" s="406">
        <v>110</v>
      </c>
      <c r="B17" s="407">
        <v>5158.8</v>
      </c>
      <c r="C17" s="407">
        <v>5383.6</v>
      </c>
      <c r="D17" s="407">
        <v>5147</v>
      </c>
      <c r="E17" s="407">
        <v>4783.5</v>
      </c>
      <c r="F17" s="407">
        <v>4564.8</v>
      </c>
      <c r="G17" s="407">
        <v>4165.2</v>
      </c>
      <c r="H17" s="407">
        <v>3883.3</v>
      </c>
      <c r="I17" s="407">
        <v>3672.1</v>
      </c>
      <c r="J17" s="407">
        <v>3422.2</v>
      </c>
      <c r="K17" s="408">
        <v>3164.4</v>
      </c>
      <c r="L17">
        <v>2905.9</v>
      </c>
      <c r="M17">
        <v>2686.9</v>
      </c>
      <c r="N17">
        <v>2465.6</v>
      </c>
      <c r="O17">
        <v>2279.9</v>
      </c>
      <c r="P17">
        <v>2138.5</v>
      </c>
    </row>
    <row r="18" spans="1:16">
      <c r="A18" s="406">
        <v>120</v>
      </c>
      <c r="B18" s="407">
        <v>6046</v>
      </c>
      <c r="C18" s="407">
        <v>6293.4</v>
      </c>
      <c r="D18" s="407">
        <v>5965.8</v>
      </c>
      <c r="E18" s="407">
        <v>5605.9</v>
      </c>
      <c r="F18" s="407">
        <v>5337.9</v>
      </c>
      <c r="G18" s="407">
        <v>4882.8999999999996</v>
      </c>
      <c r="H18" s="407">
        <v>4544.8</v>
      </c>
      <c r="I18" s="407">
        <v>4287</v>
      </c>
      <c r="J18" s="407">
        <v>3989.9</v>
      </c>
      <c r="K18" s="408">
        <v>3677.5</v>
      </c>
      <c r="L18">
        <v>3372.4</v>
      </c>
      <c r="M18">
        <v>3113.8</v>
      </c>
      <c r="N18">
        <v>2857.8</v>
      </c>
      <c r="O18">
        <v>2635.5</v>
      </c>
      <c r="P18">
        <v>2465.6999999999998</v>
      </c>
    </row>
    <row r="19" spans="1:16">
      <c r="A19" s="406">
        <v>130</v>
      </c>
      <c r="B19" s="407">
        <v>6939.4</v>
      </c>
      <c r="C19" s="407">
        <v>7170.9</v>
      </c>
      <c r="D19" s="407">
        <v>6847.2</v>
      </c>
      <c r="E19" s="407">
        <v>6424.7</v>
      </c>
      <c r="F19" s="407">
        <v>6113.7</v>
      </c>
      <c r="G19" s="407">
        <v>5602.6</v>
      </c>
      <c r="H19" s="407">
        <v>5209.3999999999996</v>
      </c>
      <c r="I19" s="407">
        <v>4901.8999999999996</v>
      </c>
      <c r="J19" s="407">
        <v>4556.8</v>
      </c>
      <c r="K19" s="408">
        <v>4192.2</v>
      </c>
      <c r="L19">
        <v>3839.8</v>
      </c>
      <c r="M19">
        <v>3540.9</v>
      </c>
      <c r="N19">
        <v>3252.7</v>
      </c>
      <c r="O19">
        <v>2997.7</v>
      </c>
      <c r="P19">
        <v>2799.5</v>
      </c>
    </row>
    <row r="20" spans="1:16">
      <c r="A20" s="412">
        <v>140</v>
      </c>
      <c r="B20" s="413">
        <v>7836</v>
      </c>
      <c r="C20" s="413">
        <v>8087.9</v>
      </c>
      <c r="D20" s="413">
        <v>7692.4</v>
      </c>
      <c r="E20" s="413">
        <v>7243.6</v>
      </c>
      <c r="F20" s="413">
        <v>6889.4</v>
      </c>
      <c r="G20" s="413">
        <v>6322.8</v>
      </c>
      <c r="H20" s="413">
        <v>5874.9</v>
      </c>
      <c r="I20" s="413">
        <v>5519.8</v>
      </c>
      <c r="J20" s="413">
        <v>5126.7</v>
      </c>
      <c r="K20" s="414">
        <v>4706.8999999999996</v>
      </c>
      <c r="L20">
        <v>4307.6000000000004</v>
      </c>
      <c r="M20">
        <v>3969</v>
      </c>
      <c r="N20">
        <v>3647.2</v>
      </c>
      <c r="O20">
        <v>3361</v>
      </c>
      <c r="P20">
        <v>3134.6</v>
      </c>
    </row>
    <row r="21" spans="1:16" ht="15.75" thickBot="1"/>
    <row r="22" spans="1:16" ht="17.25">
      <c r="A22" s="1219" t="s">
        <v>697</v>
      </c>
      <c r="B22" s="1220"/>
      <c r="C22" s="1220"/>
      <c r="D22" s="1220"/>
      <c r="E22" s="1220"/>
      <c r="F22" s="1220"/>
      <c r="G22" s="1220"/>
      <c r="H22" s="1220"/>
      <c r="I22" s="1220"/>
      <c r="J22" s="1220"/>
      <c r="K22" s="1221"/>
    </row>
    <row r="23" spans="1:16">
      <c r="A23" s="127"/>
      <c r="B23" s="141"/>
      <c r="C23" s="141"/>
      <c r="D23" s="141"/>
      <c r="E23" s="141"/>
      <c r="F23" s="141"/>
      <c r="G23" s="141"/>
      <c r="H23" s="141"/>
      <c r="I23" s="141"/>
      <c r="J23" s="141"/>
      <c r="K23" s="146"/>
    </row>
    <row r="24" spans="1:16">
      <c r="A24" s="871"/>
      <c r="B24" s="872" t="s">
        <v>2</v>
      </c>
      <c r="C24" s="872" t="s">
        <v>3</v>
      </c>
      <c r="D24" s="872" t="s">
        <v>4</v>
      </c>
      <c r="E24" s="872" t="s">
        <v>5</v>
      </c>
      <c r="F24" s="872" t="s">
        <v>6</v>
      </c>
      <c r="G24" s="872" t="s">
        <v>7</v>
      </c>
      <c r="H24" s="872" t="s">
        <v>8</v>
      </c>
      <c r="I24" s="872" t="s">
        <v>9</v>
      </c>
      <c r="J24" s="872" t="s">
        <v>21</v>
      </c>
      <c r="K24" s="873" t="s">
        <v>35</v>
      </c>
    </row>
    <row r="25" spans="1:16" ht="26.25">
      <c r="A25" s="874" t="s">
        <v>698</v>
      </c>
      <c r="B25" s="875">
        <v>519.5</v>
      </c>
      <c r="C25" s="875">
        <v>535.5</v>
      </c>
      <c r="D25" s="875">
        <v>506.6</v>
      </c>
      <c r="E25" s="875">
        <v>469.9</v>
      </c>
      <c r="F25" s="875">
        <v>440.1</v>
      </c>
      <c r="G25" s="875">
        <v>406.6</v>
      </c>
      <c r="H25" s="875">
        <v>374.1</v>
      </c>
      <c r="I25" s="875">
        <v>348.8</v>
      </c>
      <c r="J25" s="875">
        <v>320.3</v>
      </c>
      <c r="K25" s="876">
        <v>286.89999999999998</v>
      </c>
      <c r="L25">
        <v>258.7</v>
      </c>
      <c r="M25">
        <v>235.1</v>
      </c>
      <c r="N25">
        <v>214.7</v>
      </c>
      <c r="O25">
        <v>196.4</v>
      </c>
      <c r="P25">
        <v>180.1</v>
      </c>
    </row>
    <row r="26" spans="1:16" ht="39">
      <c r="A26" s="877" t="s">
        <v>699</v>
      </c>
      <c r="B26" s="878">
        <v>7591.4785000000002</v>
      </c>
      <c r="C26" s="878">
        <v>7279.5146000000004</v>
      </c>
      <c r="D26" s="878">
        <v>6749.0102999999999</v>
      </c>
      <c r="E26" s="878">
        <v>6173.5571</v>
      </c>
      <c r="F26" s="878">
        <v>5724.0847999999996</v>
      </c>
      <c r="G26" s="878">
        <v>5659.6298999999999</v>
      </c>
      <c r="H26" s="878">
        <v>5290.9085999999998</v>
      </c>
      <c r="I26" s="878">
        <v>4903.7988999999998</v>
      </c>
      <c r="J26" s="878">
        <v>4491.8445000000002</v>
      </c>
      <c r="K26" s="879">
        <v>4012.0165999999999</v>
      </c>
      <c r="L26">
        <v>3707.5432000000001</v>
      </c>
      <c r="M26">
        <v>3450.4225999999999</v>
      </c>
      <c r="N26">
        <v>3214.2114999999999</v>
      </c>
      <c r="O26">
        <v>3025.6822000000002</v>
      </c>
      <c r="P26">
        <v>2842.3802000000001</v>
      </c>
    </row>
    <row r="27" spans="1:16" ht="39.75" thickBot="1">
      <c r="A27" s="880" t="s">
        <v>700</v>
      </c>
      <c r="B27" s="881">
        <v>39.925199999999997</v>
      </c>
      <c r="C27" s="881">
        <v>37.2468</v>
      </c>
      <c r="D27" s="881">
        <v>36.497700000000002</v>
      </c>
      <c r="E27" s="881">
        <v>35.997999999999998</v>
      </c>
      <c r="F27" s="881">
        <v>35.534999999999997</v>
      </c>
      <c r="G27" s="881">
        <v>38.132399999999997</v>
      </c>
      <c r="H27" s="881">
        <v>38.743200000000002</v>
      </c>
      <c r="I27" s="881">
        <v>38.5139</v>
      </c>
      <c r="J27" s="881">
        <v>38.316575648853785</v>
      </c>
      <c r="K27" s="882">
        <v>38.312395613000575</v>
      </c>
      <c r="L27">
        <v>39.264215704444247</v>
      </c>
      <c r="M27">
        <v>40.209326255804875</v>
      </c>
      <c r="N27">
        <v>40.903580036701356</v>
      </c>
      <c r="O27">
        <v>42.207435203526494</v>
      </c>
      <c r="P27">
        <v>43.238995078837483</v>
      </c>
    </row>
    <row r="29" spans="1:16" ht="18.75">
      <c r="A29" s="398" t="s">
        <v>701</v>
      </c>
    </row>
    <row r="30" spans="1:16">
      <c r="A30" s="399" t="s">
        <v>511</v>
      </c>
      <c r="B30" s="866" t="s">
        <v>2</v>
      </c>
      <c r="C30" s="866" t="s">
        <v>3</v>
      </c>
      <c r="D30" s="866" t="s">
        <v>4</v>
      </c>
      <c r="E30" s="866" t="s">
        <v>5</v>
      </c>
      <c r="F30" s="866" t="s">
        <v>6</v>
      </c>
      <c r="G30" s="866" t="s">
        <v>7</v>
      </c>
      <c r="H30" s="866" t="s">
        <v>8</v>
      </c>
      <c r="I30" s="866" t="s">
        <v>9</v>
      </c>
      <c r="J30" s="866" t="s">
        <v>21</v>
      </c>
      <c r="K30" s="867" t="s">
        <v>35</v>
      </c>
    </row>
    <row r="31" spans="1:16">
      <c r="A31" s="402" t="s">
        <v>512</v>
      </c>
      <c r="B31" s="868">
        <v>590</v>
      </c>
      <c r="C31" s="868">
        <v>1330</v>
      </c>
      <c r="D31" s="868">
        <v>1270</v>
      </c>
      <c r="E31" s="868">
        <v>1060</v>
      </c>
      <c r="F31" s="868">
        <v>880</v>
      </c>
      <c r="G31" s="868">
        <v>700</v>
      </c>
      <c r="H31" s="868">
        <v>640</v>
      </c>
      <c r="I31" s="868">
        <v>580</v>
      </c>
      <c r="J31" s="869">
        <v>510</v>
      </c>
      <c r="K31" s="870">
        <v>390</v>
      </c>
      <c r="L31">
        <v>350</v>
      </c>
      <c r="M31">
        <v>320</v>
      </c>
      <c r="N31">
        <v>290</v>
      </c>
      <c r="O31">
        <v>270</v>
      </c>
      <c r="P31">
        <v>250</v>
      </c>
    </row>
    <row r="32" spans="1:16">
      <c r="A32" s="406">
        <v>40</v>
      </c>
      <c r="B32" s="407">
        <v>50</v>
      </c>
      <c r="C32" s="407">
        <v>220</v>
      </c>
      <c r="D32" s="407">
        <v>200</v>
      </c>
      <c r="E32" s="407">
        <v>190</v>
      </c>
      <c r="F32" s="407">
        <v>170</v>
      </c>
      <c r="G32" s="407">
        <v>160</v>
      </c>
      <c r="H32" s="407">
        <v>140</v>
      </c>
      <c r="I32" s="407">
        <v>120</v>
      </c>
      <c r="J32" s="407">
        <v>110</v>
      </c>
      <c r="K32" s="408">
        <v>100</v>
      </c>
      <c r="L32">
        <v>80</v>
      </c>
      <c r="M32">
        <v>70</v>
      </c>
      <c r="N32">
        <v>60</v>
      </c>
      <c r="O32">
        <v>50</v>
      </c>
      <c r="P32">
        <v>40</v>
      </c>
    </row>
    <row r="33" spans="1:16">
      <c r="A33" s="409">
        <v>45</v>
      </c>
      <c r="B33" s="410">
        <v>50</v>
      </c>
      <c r="C33" s="410">
        <v>250</v>
      </c>
      <c r="D33" s="410">
        <v>230</v>
      </c>
      <c r="E33" s="410">
        <v>210</v>
      </c>
      <c r="F33" s="410">
        <v>170</v>
      </c>
      <c r="G33" s="410">
        <v>170</v>
      </c>
      <c r="H33" s="410">
        <v>170</v>
      </c>
      <c r="I33" s="410">
        <v>140</v>
      </c>
      <c r="J33" s="410">
        <v>130</v>
      </c>
      <c r="K33" s="411">
        <v>110</v>
      </c>
      <c r="L33">
        <v>100</v>
      </c>
      <c r="M33">
        <v>90</v>
      </c>
      <c r="N33">
        <v>70</v>
      </c>
      <c r="O33">
        <v>60</v>
      </c>
      <c r="P33">
        <v>60</v>
      </c>
    </row>
    <row r="34" spans="1:16">
      <c r="A34" s="406">
        <v>50</v>
      </c>
      <c r="B34" s="407">
        <v>60</v>
      </c>
      <c r="C34" s="407">
        <v>100</v>
      </c>
      <c r="D34" s="407">
        <v>70</v>
      </c>
      <c r="E34" s="407">
        <v>100</v>
      </c>
      <c r="F34" s="407">
        <v>120</v>
      </c>
      <c r="G34" s="407">
        <v>120</v>
      </c>
      <c r="H34" s="407">
        <v>170</v>
      </c>
      <c r="I34" s="407">
        <v>170</v>
      </c>
      <c r="J34" s="407">
        <v>150</v>
      </c>
      <c r="K34" s="408">
        <v>130</v>
      </c>
      <c r="L34">
        <v>110</v>
      </c>
      <c r="M34">
        <v>100</v>
      </c>
      <c r="N34">
        <v>90</v>
      </c>
      <c r="O34">
        <v>80</v>
      </c>
      <c r="P34">
        <v>70</v>
      </c>
    </row>
    <row r="35" spans="1:16">
      <c r="A35" s="409">
        <v>55</v>
      </c>
      <c r="B35" s="410">
        <v>110</v>
      </c>
      <c r="C35" s="410">
        <v>160</v>
      </c>
      <c r="D35" s="410">
        <v>140</v>
      </c>
      <c r="E35" s="410">
        <v>120</v>
      </c>
      <c r="F35" s="410">
        <v>110</v>
      </c>
      <c r="G35" s="410">
        <v>70</v>
      </c>
      <c r="H35" s="410">
        <v>90</v>
      </c>
      <c r="I35" s="410">
        <v>90</v>
      </c>
      <c r="J35" s="410">
        <v>100</v>
      </c>
      <c r="K35" s="411">
        <v>120</v>
      </c>
      <c r="L35">
        <v>110</v>
      </c>
      <c r="M35">
        <v>100</v>
      </c>
      <c r="N35">
        <v>100</v>
      </c>
      <c r="O35">
        <v>90</v>
      </c>
      <c r="P35">
        <v>80</v>
      </c>
    </row>
    <row r="36" spans="1:16">
      <c r="A36" s="406">
        <v>60</v>
      </c>
      <c r="B36" s="407">
        <v>310</v>
      </c>
      <c r="C36" s="407">
        <v>380</v>
      </c>
      <c r="D36" s="407">
        <v>320</v>
      </c>
      <c r="E36" s="407">
        <v>280</v>
      </c>
      <c r="F36" s="407">
        <v>260</v>
      </c>
      <c r="G36" s="407">
        <v>120</v>
      </c>
      <c r="H36" s="407">
        <v>70</v>
      </c>
      <c r="I36" s="407">
        <v>60</v>
      </c>
      <c r="J36" s="407">
        <v>50</v>
      </c>
      <c r="K36" s="408">
        <v>50</v>
      </c>
      <c r="L36">
        <v>60</v>
      </c>
      <c r="M36">
        <v>100</v>
      </c>
      <c r="N36">
        <v>90</v>
      </c>
      <c r="O36">
        <v>90</v>
      </c>
      <c r="P36">
        <v>90</v>
      </c>
    </row>
    <row r="37" spans="1:16">
      <c r="A37" s="409">
        <v>65</v>
      </c>
      <c r="B37" s="410">
        <v>540</v>
      </c>
      <c r="C37" s="410">
        <v>630</v>
      </c>
      <c r="D37" s="410">
        <v>550</v>
      </c>
      <c r="E37" s="410">
        <v>490</v>
      </c>
      <c r="F37" s="410">
        <v>450</v>
      </c>
      <c r="G37" s="410">
        <v>270</v>
      </c>
      <c r="H37" s="410">
        <v>190</v>
      </c>
      <c r="I37" s="410">
        <v>150</v>
      </c>
      <c r="J37" s="410">
        <v>100</v>
      </c>
      <c r="K37" s="411">
        <v>80</v>
      </c>
      <c r="L37">
        <v>60</v>
      </c>
      <c r="M37">
        <v>40</v>
      </c>
      <c r="N37">
        <v>60</v>
      </c>
      <c r="O37">
        <v>90</v>
      </c>
      <c r="P37">
        <v>80</v>
      </c>
    </row>
    <row r="38" spans="1:16">
      <c r="A38" s="406">
        <v>70</v>
      </c>
      <c r="B38" s="407">
        <v>770</v>
      </c>
      <c r="C38" s="407">
        <v>870</v>
      </c>
      <c r="D38" s="407">
        <v>780</v>
      </c>
      <c r="E38" s="407">
        <v>700</v>
      </c>
      <c r="F38" s="407">
        <v>650</v>
      </c>
      <c r="G38" s="407">
        <v>450</v>
      </c>
      <c r="H38" s="407">
        <v>350</v>
      </c>
      <c r="I38" s="407">
        <v>300</v>
      </c>
      <c r="J38" s="407">
        <v>230</v>
      </c>
      <c r="K38" s="408">
        <v>170</v>
      </c>
      <c r="L38">
        <v>100</v>
      </c>
      <c r="M38">
        <v>70</v>
      </c>
      <c r="N38">
        <v>50</v>
      </c>
      <c r="O38">
        <v>30</v>
      </c>
      <c r="P38">
        <v>60</v>
      </c>
    </row>
    <row r="39" spans="1:16">
      <c r="A39" s="409">
        <v>75</v>
      </c>
      <c r="B39" s="410">
        <v>1010</v>
      </c>
      <c r="C39" s="410">
        <v>1120</v>
      </c>
      <c r="D39" s="410">
        <v>1000</v>
      </c>
      <c r="E39" s="410">
        <v>910</v>
      </c>
      <c r="F39" s="410">
        <v>840</v>
      </c>
      <c r="G39" s="410">
        <v>630</v>
      </c>
      <c r="H39" s="410">
        <v>520</v>
      </c>
      <c r="I39" s="410">
        <v>450</v>
      </c>
      <c r="J39" s="410">
        <v>370</v>
      </c>
      <c r="K39" s="411">
        <v>300</v>
      </c>
      <c r="L39">
        <v>210</v>
      </c>
      <c r="M39">
        <v>130</v>
      </c>
      <c r="N39">
        <v>80</v>
      </c>
      <c r="O39">
        <v>50</v>
      </c>
      <c r="P39">
        <v>30</v>
      </c>
    </row>
    <row r="40" spans="1:16">
      <c r="A40" s="406">
        <v>80</v>
      </c>
      <c r="B40" s="407">
        <v>1230</v>
      </c>
      <c r="C40" s="407">
        <v>1310</v>
      </c>
      <c r="D40" s="407">
        <v>1170</v>
      </c>
      <c r="E40" s="407">
        <v>1080</v>
      </c>
      <c r="F40" s="407">
        <v>1000</v>
      </c>
      <c r="G40" s="407">
        <v>810</v>
      </c>
      <c r="H40" s="407">
        <v>690</v>
      </c>
      <c r="I40" s="407">
        <v>610</v>
      </c>
      <c r="J40" s="407">
        <v>510</v>
      </c>
      <c r="K40" s="408">
        <v>420</v>
      </c>
      <c r="L40">
        <v>320</v>
      </c>
      <c r="M40">
        <v>230</v>
      </c>
      <c r="N40">
        <v>160</v>
      </c>
      <c r="O40">
        <v>90</v>
      </c>
      <c r="P40">
        <v>60</v>
      </c>
    </row>
    <row r="41" spans="1:16">
      <c r="A41" s="409">
        <v>85</v>
      </c>
      <c r="B41" s="410">
        <v>1300</v>
      </c>
      <c r="C41" s="410">
        <v>1330</v>
      </c>
      <c r="D41" s="410">
        <v>1260</v>
      </c>
      <c r="E41" s="410">
        <v>1170</v>
      </c>
      <c r="F41" s="410">
        <v>1090</v>
      </c>
      <c r="G41" s="410">
        <v>960</v>
      </c>
      <c r="H41" s="410">
        <v>850</v>
      </c>
      <c r="I41" s="410">
        <v>760</v>
      </c>
      <c r="J41" s="410">
        <v>660</v>
      </c>
      <c r="K41" s="411">
        <v>540</v>
      </c>
      <c r="L41">
        <v>430</v>
      </c>
      <c r="M41">
        <v>340</v>
      </c>
      <c r="N41">
        <v>260</v>
      </c>
      <c r="O41">
        <v>170</v>
      </c>
      <c r="P41">
        <v>110</v>
      </c>
    </row>
    <row r="42" spans="1:16">
      <c r="A42" s="406">
        <v>90</v>
      </c>
      <c r="B42" s="407">
        <v>1180</v>
      </c>
      <c r="C42" s="407">
        <v>1190</v>
      </c>
      <c r="D42" s="407">
        <v>1180</v>
      </c>
      <c r="E42" s="407">
        <v>1180</v>
      </c>
      <c r="F42" s="407">
        <v>1100</v>
      </c>
      <c r="G42" s="407">
        <v>1010</v>
      </c>
      <c r="H42" s="407">
        <v>930</v>
      </c>
      <c r="I42" s="407">
        <v>850</v>
      </c>
      <c r="J42" s="407">
        <v>760</v>
      </c>
      <c r="K42" s="408">
        <v>640</v>
      </c>
      <c r="L42">
        <v>530</v>
      </c>
      <c r="M42">
        <v>440</v>
      </c>
      <c r="N42">
        <v>350</v>
      </c>
      <c r="O42">
        <v>260</v>
      </c>
      <c r="P42">
        <v>190</v>
      </c>
    </row>
    <row r="43" spans="1:16">
      <c r="A43" s="409">
        <v>95</v>
      </c>
      <c r="B43" s="410">
        <v>1180</v>
      </c>
      <c r="C43" s="410">
        <v>1190</v>
      </c>
      <c r="D43" s="410">
        <v>1130</v>
      </c>
      <c r="E43" s="410">
        <v>1060</v>
      </c>
      <c r="F43" s="410">
        <v>990</v>
      </c>
      <c r="G43" s="410">
        <v>910</v>
      </c>
      <c r="H43" s="410">
        <v>830</v>
      </c>
      <c r="I43" s="410">
        <v>770</v>
      </c>
      <c r="J43" s="410">
        <v>700</v>
      </c>
      <c r="K43" s="411">
        <v>700</v>
      </c>
      <c r="L43">
        <v>620</v>
      </c>
      <c r="M43">
        <v>520</v>
      </c>
      <c r="N43">
        <v>430</v>
      </c>
      <c r="O43">
        <v>350</v>
      </c>
      <c r="P43">
        <v>270</v>
      </c>
    </row>
    <row r="44" spans="1:16">
      <c r="A44" s="406">
        <v>100</v>
      </c>
      <c r="B44" s="407">
        <v>1040</v>
      </c>
      <c r="C44" s="407">
        <v>1050</v>
      </c>
      <c r="D44" s="407">
        <v>1040</v>
      </c>
      <c r="E44" s="407">
        <v>1060</v>
      </c>
      <c r="F44" s="407">
        <v>1000</v>
      </c>
      <c r="G44" s="407">
        <v>910</v>
      </c>
      <c r="H44" s="407">
        <v>840</v>
      </c>
      <c r="I44" s="407">
        <v>770</v>
      </c>
      <c r="J44" s="407">
        <v>700</v>
      </c>
      <c r="K44" s="408">
        <v>630</v>
      </c>
      <c r="L44">
        <v>560</v>
      </c>
      <c r="M44">
        <v>510</v>
      </c>
      <c r="N44">
        <v>490</v>
      </c>
      <c r="O44">
        <v>420</v>
      </c>
      <c r="P44">
        <v>340</v>
      </c>
    </row>
    <row r="45" spans="1:16">
      <c r="A45" s="409">
        <v>105</v>
      </c>
      <c r="B45" s="410">
        <v>1030</v>
      </c>
      <c r="C45" s="410">
        <v>1050</v>
      </c>
      <c r="D45" s="410">
        <v>990</v>
      </c>
      <c r="E45" s="410">
        <v>930</v>
      </c>
      <c r="F45" s="410">
        <v>880</v>
      </c>
      <c r="G45" s="410">
        <v>810</v>
      </c>
      <c r="H45" s="410">
        <v>740</v>
      </c>
      <c r="I45" s="410">
        <v>680</v>
      </c>
      <c r="J45" s="410">
        <v>620</v>
      </c>
      <c r="K45" s="411">
        <v>630</v>
      </c>
      <c r="L45">
        <v>570</v>
      </c>
      <c r="M45">
        <v>510</v>
      </c>
      <c r="N45">
        <v>470</v>
      </c>
      <c r="O45">
        <v>430</v>
      </c>
      <c r="P45">
        <v>390</v>
      </c>
    </row>
    <row r="46" spans="1:16">
      <c r="A46" s="406">
        <v>110</v>
      </c>
      <c r="B46" s="407">
        <v>890</v>
      </c>
      <c r="C46" s="407">
        <v>910</v>
      </c>
      <c r="D46" s="407">
        <v>900</v>
      </c>
      <c r="E46" s="407">
        <v>930</v>
      </c>
      <c r="F46" s="407">
        <v>880</v>
      </c>
      <c r="G46" s="407">
        <v>810</v>
      </c>
      <c r="H46" s="407">
        <v>740</v>
      </c>
      <c r="I46" s="407">
        <v>680</v>
      </c>
      <c r="J46" s="407">
        <v>610</v>
      </c>
      <c r="K46" s="408">
        <v>550</v>
      </c>
      <c r="L46">
        <v>500</v>
      </c>
      <c r="M46">
        <v>450</v>
      </c>
      <c r="N46">
        <v>460</v>
      </c>
      <c r="O46">
        <v>430</v>
      </c>
      <c r="P46">
        <v>390</v>
      </c>
    </row>
    <row r="47" spans="1:16">
      <c r="A47" s="409">
        <v>115</v>
      </c>
      <c r="B47" s="410">
        <v>880</v>
      </c>
      <c r="C47" s="410">
        <v>900</v>
      </c>
      <c r="D47" s="410">
        <v>850</v>
      </c>
      <c r="E47" s="410">
        <v>790</v>
      </c>
      <c r="F47" s="410">
        <v>760</v>
      </c>
      <c r="G47" s="410">
        <v>700</v>
      </c>
      <c r="H47" s="410">
        <v>640</v>
      </c>
      <c r="I47" s="410">
        <v>580</v>
      </c>
      <c r="J47" s="410">
        <v>530</v>
      </c>
      <c r="K47" s="411">
        <v>550</v>
      </c>
      <c r="L47">
        <v>490</v>
      </c>
      <c r="M47">
        <v>450</v>
      </c>
      <c r="N47">
        <v>420</v>
      </c>
      <c r="O47">
        <v>380</v>
      </c>
      <c r="P47">
        <v>350</v>
      </c>
    </row>
    <row r="48" spans="1:16">
      <c r="A48" s="406">
        <v>120</v>
      </c>
      <c r="B48" s="407">
        <v>750</v>
      </c>
      <c r="C48" s="407">
        <v>770</v>
      </c>
      <c r="D48" s="407">
        <v>820</v>
      </c>
      <c r="E48" s="407">
        <v>800</v>
      </c>
      <c r="F48" s="407">
        <v>760</v>
      </c>
      <c r="G48" s="407">
        <v>700</v>
      </c>
      <c r="H48" s="407">
        <v>640</v>
      </c>
      <c r="I48" s="407">
        <v>580</v>
      </c>
      <c r="J48" s="407">
        <v>530</v>
      </c>
      <c r="K48" s="408">
        <v>470</v>
      </c>
      <c r="L48">
        <v>420</v>
      </c>
      <c r="M48">
        <v>390</v>
      </c>
      <c r="N48">
        <v>400</v>
      </c>
      <c r="O48">
        <v>380</v>
      </c>
      <c r="P48">
        <v>350</v>
      </c>
    </row>
    <row r="49" spans="1:16">
      <c r="A49" s="409">
        <v>125</v>
      </c>
      <c r="B49" s="410">
        <v>730</v>
      </c>
      <c r="C49" s="410">
        <v>760</v>
      </c>
      <c r="D49" s="410">
        <v>710</v>
      </c>
      <c r="E49" s="410">
        <v>670</v>
      </c>
      <c r="F49" s="410">
        <v>630</v>
      </c>
      <c r="G49" s="410">
        <v>580</v>
      </c>
      <c r="H49" s="410">
        <v>530</v>
      </c>
      <c r="I49" s="410">
        <v>480</v>
      </c>
      <c r="J49" s="410">
        <v>440</v>
      </c>
      <c r="K49" s="411">
        <v>470</v>
      </c>
      <c r="L49">
        <v>420</v>
      </c>
      <c r="M49">
        <v>390</v>
      </c>
      <c r="N49">
        <v>350</v>
      </c>
      <c r="O49">
        <v>320</v>
      </c>
      <c r="P49">
        <v>300</v>
      </c>
    </row>
    <row r="50" spans="1:16">
      <c r="A50" s="406">
        <v>130</v>
      </c>
      <c r="B50" s="407">
        <v>600</v>
      </c>
      <c r="C50" s="407">
        <v>660</v>
      </c>
      <c r="D50" s="407">
        <v>680</v>
      </c>
      <c r="E50" s="407">
        <v>670</v>
      </c>
      <c r="F50" s="407">
        <v>630</v>
      </c>
      <c r="G50" s="407">
        <v>580</v>
      </c>
      <c r="H50" s="407">
        <v>530</v>
      </c>
      <c r="I50" s="407">
        <v>480</v>
      </c>
      <c r="J50" s="407">
        <v>440</v>
      </c>
      <c r="K50" s="408">
        <v>390</v>
      </c>
      <c r="L50">
        <v>350</v>
      </c>
      <c r="M50">
        <v>320</v>
      </c>
      <c r="N50">
        <v>340</v>
      </c>
      <c r="O50">
        <v>330</v>
      </c>
      <c r="P50">
        <v>300</v>
      </c>
    </row>
    <row r="51" spans="1:16">
      <c r="A51" s="409">
        <v>135</v>
      </c>
      <c r="B51" s="410">
        <v>590</v>
      </c>
      <c r="C51" s="410">
        <v>610</v>
      </c>
      <c r="D51" s="410">
        <v>570</v>
      </c>
      <c r="E51" s="410">
        <v>540</v>
      </c>
      <c r="F51" s="410">
        <v>510</v>
      </c>
      <c r="G51" s="410">
        <v>470</v>
      </c>
      <c r="H51" s="410">
        <v>430</v>
      </c>
      <c r="I51" s="410">
        <v>390</v>
      </c>
      <c r="J51" s="410">
        <v>360</v>
      </c>
      <c r="K51" s="411">
        <v>390</v>
      </c>
      <c r="L51">
        <v>350</v>
      </c>
      <c r="M51">
        <v>320</v>
      </c>
      <c r="N51">
        <v>290</v>
      </c>
      <c r="O51">
        <v>270</v>
      </c>
      <c r="P51">
        <v>250</v>
      </c>
    </row>
    <row r="52" spans="1:16">
      <c r="A52" s="412">
        <v>140</v>
      </c>
      <c r="B52" s="413">
        <v>450</v>
      </c>
      <c r="C52" s="413">
        <v>510</v>
      </c>
      <c r="D52" s="413">
        <v>570</v>
      </c>
      <c r="E52" s="413">
        <v>540</v>
      </c>
      <c r="F52" s="413">
        <v>510</v>
      </c>
      <c r="G52" s="413">
        <v>460</v>
      </c>
      <c r="H52" s="413">
        <v>420</v>
      </c>
      <c r="I52" s="413">
        <v>380</v>
      </c>
      <c r="J52" s="413">
        <v>350</v>
      </c>
      <c r="K52" s="414">
        <v>310</v>
      </c>
      <c r="L52">
        <v>280</v>
      </c>
      <c r="M52">
        <v>250</v>
      </c>
      <c r="N52">
        <v>280</v>
      </c>
      <c r="O52">
        <v>270</v>
      </c>
      <c r="P52">
        <v>250</v>
      </c>
    </row>
    <row r="54" spans="1:16" ht="18.75">
      <c r="A54" s="398" t="s">
        <v>702</v>
      </c>
    </row>
    <row r="55" spans="1:16">
      <c r="A55" s="399" t="s">
        <v>511</v>
      </c>
      <c r="B55" s="866" t="s">
        <v>2</v>
      </c>
      <c r="C55" s="866" t="s">
        <v>3</v>
      </c>
      <c r="D55" s="866" t="s">
        <v>4</v>
      </c>
      <c r="E55" s="866" t="s">
        <v>5</v>
      </c>
      <c r="F55" s="866" t="s">
        <v>6</v>
      </c>
      <c r="G55" s="866" t="s">
        <v>7</v>
      </c>
      <c r="H55" s="866" t="s">
        <v>8</v>
      </c>
      <c r="I55" s="866" t="s">
        <v>9</v>
      </c>
      <c r="J55" s="866" t="s">
        <v>21</v>
      </c>
      <c r="K55" s="867" t="s">
        <v>35</v>
      </c>
    </row>
    <row r="56" spans="1:16">
      <c r="A56" s="402" t="s">
        <v>512</v>
      </c>
      <c r="B56" s="868">
        <v>700</v>
      </c>
      <c r="C56" s="868">
        <v>450</v>
      </c>
      <c r="D56" s="868">
        <v>325</v>
      </c>
      <c r="E56" s="868">
        <v>275</v>
      </c>
      <c r="F56" s="868">
        <v>275</v>
      </c>
      <c r="G56" s="868">
        <v>275</v>
      </c>
      <c r="H56" s="868">
        <v>275</v>
      </c>
      <c r="I56" s="868">
        <v>275</v>
      </c>
      <c r="J56" s="869">
        <v>275</v>
      </c>
      <c r="K56" s="870">
        <v>275</v>
      </c>
      <c r="L56">
        <v>275</v>
      </c>
      <c r="M56">
        <v>275</v>
      </c>
      <c r="N56">
        <v>275</v>
      </c>
      <c r="O56">
        <v>275</v>
      </c>
      <c r="P56">
        <v>275</v>
      </c>
    </row>
    <row r="57" spans="1:16">
      <c r="A57" s="406">
        <v>40</v>
      </c>
      <c r="B57" s="407">
        <v>900</v>
      </c>
      <c r="C57" s="407">
        <v>700</v>
      </c>
      <c r="D57" s="407">
        <v>500</v>
      </c>
      <c r="E57" s="407">
        <v>425</v>
      </c>
      <c r="F57" s="407">
        <v>425</v>
      </c>
      <c r="G57" s="407">
        <v>400</v>
      </c>
      <c r="H57" s="407">
        <v>400</v>
      </c>
      <c r="I57" s="407">
        <v>400</v>
      </c>
      <c r="J57" s="407">
        <v>425</v>
      </c>
      <c r="K57" s="408">
        <v>425</v>
      </c>
      <c r="L57">
        <v>400</v>
      </c>
      <c r="M57">
        <v>400</v>
      </c>
      <c r="N57">
        <v>400</v>
      </c>
      <c r="O57">
        <v>400</v>
      </c>
      <c r="P57">
        <v>400</v>
      </c>
    </row>
    <row r="58" spans="1:16">
      <c r="A58" s="409">
        <v>45</v>
      </c>
      <c r="B58" s="410">
        <v>850</v>
      </c>
      <c r="C58" s="410">
        <v>650</v>
      </c>
      <c r="D58" s="410">
        <v>450</v>
      </c>
      <c r="E58" s="410">
        <v>400</v>
      </c>
      <c r="F58" s="410">
        <v>400</v>
      </c>
      <c r="G58" s="410">
        <v>375</v>
      </c>
      <c r="H58" s="410">
        <v>375</v>
      </c>
      <c r="I58" s="410">
        <v>375</v>
      </c>
      <c r="J58" s="410">
        <v>400</v>
      </c>
      <c r="K58" s="411">
        <v>400</v>
      </c>
      <c r="L58">
        <v>400</v>
      </c>
      <c r="M58">
        <v>400</v>
      </c>
      <c r="N58">
        <v>375</v>
      </c>
      <c r="O58">
        <v>375</v>
      </c>
      <c r="P58">
        <v>375</v>
      </c>
    </row>
    <row r="59" spans="1:16">
      <c r="A59" s="406">
        <v>50</v>
      </c>
      <c r="B59" s="407">
        <v>800</v>
      </c>
      <c r="C59" s="407">
        <v>600</v>
      </c>
      <c r="D59" s="407">
        <v>425</v>
      </c>
      <c r="E59" s="407">
        <v>375</v>
      </c>
      <c r="F59" s="407">
        <v>375</v>
      </c>
      <c r="G59" s="407">
        <v>350</v>
      </c>
      <c r="H59" s="407">
        <v>350</v>
      </c>
      <c r="I59" s="407">
        <v>375</v>
      </c>
      <c r="J59" s="407">
        <v>375</v>
      </c>
      <c r="K59" s="408">
        <v>375</v>
      </c>
      <c r="L59">
        <v>375</v>
      </c>
      <c r="M59">
        <v>375</v>
      </c>
      <c r="N59">
        <v>375</v>
      </c>
      <c r="O59">
        <v>375</v>
      </c>
      <c r="P59">
        <v>375</v>
      </c>
    </row>
    <row r="60" spans="1:16">
      <c r="A60" s="409">
        <v>55</v>
      </c>
      <c r="B60" s="410">
        <v>775</v>
      </c>
      <c r="C60" s="410">
        <v>575</v>
      </c>
      <c r="D60" s="410">
        <v>400</v>
      </c>
      <c r="E60" s="410">
        <v>350</v>
      </c>
      <c r="F60" s="410">
        <v>375</v>
      </c>
      <c r="G60" s="410">
        <v>325</v>
      </c>
      <c r="H60" s="410">
        <v>350</v>
      </c>
      <c r="I60" s="410">
        <v>350</v>
      </c>
      <c r="J60" s="410">
        <v>375</v>
      </c>
      <c r="K60" s="411">
        <v>350</v>
      </c>
      <c r="L60">
        <v>350</v>
      </c>
      <c r="M60">
        <v>350</v>
      </c>
      <c r="N60">
        <v>350</v>
      </c>
      <c r="O60">
        <v>350</v>
      </c>
      <c r="P60">
        <v>350</v>
      </c>
    </row>
    <row r="61" spans="1:16">
      <c r="A61" s="406">
        <v>60</v>
      </c>
      <c r="B61" s="407">
        <v>750</v>
      </c>
      <c r="C61" s="407">
        <v>525</v>
      </c>
      <c r="D61" s="407">
        <v>375</v>
      </c>
      <c r="E61" s="407">
        <v>325</v>
      </c>
      <c r="F61" s="407">
        <v>350</v>
      </c>
      <c r="G61" s="407">
        <v>325</v>
      </c>
      <c r="H61" s="407">
        <v>325</v>
      </c>
      <c r="I61" s="407">
        <v>325</v>
      </c>
      <c r="J61" s="407">
        <v>350</v>
      </c>
      <c r="K61" s="408">
        <v>350</v>
      </c>
      <c r="L61">
        <v>350</v>
      </c>
      <c r="M61">
        <v>350</v>
      </c>
      <c r="N61">
        <v>350</v>
      </c>
      <c r="O61">
        <v>350</v>
      </c>
      <c r="P61">
        <v>350</v>
      </c>
    </row>
    <row r="62" spans="1:16">
      <c r="A62" s="409">
        <v>65</v>
      </c>
      <c r="B62" s="410">
        <v>700</v>
      </c>
      <c r="C62" s="410">
        <v>525</v>
      </c>
      <c r="D62" s="410">
        <v>375</v>
      </c>
      <c r="E62" s="410">
        <v>325</v>
      </c>
      <c r="F62" s="410">
        <v>325</v>
      </c>
      <c r="G62" s="410">
        <v>300</v>
      </c>
      <c r="H62" s="410">
        <v>325</v>
      </c>
      <c r="I62" s="410">
        <v>325</v>
      </c>
      <c r="J62" s="410">
        <v>350</v>
      </c>
      <c r="K62" s="411">
        <v>325</v>
      </c>
      <c r="L62">
        <v>325</v>
      </c>
      <c r="M62">
        <v>325</v>
      </c>
      <c r="N62">
        <v>325</v>
      </c>
      <c r="O62">
        <v>325</v>
      </c>
      <c r="P62">
        <v>325</v>
      </c>
    </row>
    <row r="63" spans="1:16">
      <c r="A63" s="406">
        <v>70</v>
      </c>
      <c r="B63" s="407">
        <v>675</v>
      </c>
      <c r="C63" s="407">
        <v>500</v>
      </c>
      <c r="D63" s="407">
        <v>375</v>
      </c>
      <c r="E63" s="407">
        <v>300</v>
      </c>
      <c r="F63" s="407">
        <v>325</v>
      </c>
      <c r="G63" s="407">
        <v>300</v>
      </c>
      <c r="H63" s="407">
        <v>300</v>
      </c>
      <c r="I63" s="407">
        <v>325</v>
      </c>
      <c r="J63" s="407">
        <v>325</v>
      </c>
      <c r="K63" s="408">
        <v>325</v>
      </c>
      <c r="L63">
        <v>325</v>
      </c>
      <c r="M63">
        <v>325</v>
      </c>
      <c r="N63">
        <v>325</v>
      </c>
      <c r="O63">
        <v>325</v>
      </c>
      <c r="P63">
        <v>325</v>
      </c>
    </row>
    <row r="64" spans="1:16">
      <c r="A64" s="409">
        <v>75</v>
      </c>
      <c r="B64" s="410">
        <v>650</v>
      </c>
      <c r="C64" s="410">
        <v>475</v>
      </c>
      <c r="D64" s="410">
        <v>350</v>
      </c>
      <c r="E64" s="410">
        <v>300</v>
      </c>
      <c r="F64" s="410">
        <v>325</v>
      </c>
      <c r="G64" s="410">
        <v>300</v>
      </c>
      <c r="H64" s="410">
        <v>300</v>
      </c>
      <c r="I64" s="410">
        <v>300</v>
      </c>
      <c r="J64" s="410">
        <v>325</v>
      </c>
      <c r="K64" s="411">
        <v>325</v>
      </c>
      <c r="L64">
        <v>325</v>
      </c>
      <c r="M64">
        <v>325</v>
      </c>
      <c r="N64">
        <v>325</v>
      </c>
      <c r="O64">
        <v>325</v>
      </c>
      <c r="P64">
        <v>325</v>
      </c>
    </row>
    <row r="65" spans="1:16">
      <c r="A65" s="406">
        <v>80</v>
      </c>
      <c r="B65" s="407">
        <v>650</v>
      </c>
      <c r="C65" s="407">
        <v>475</v>
      </c>
      <c r="D65" s="407">
        <v>350</v>
      </c>
      <c r="E65" s="407">
        <v>300</v>
      </c>
      <c r="F65" s="407">
        <v>300</v>
      </c>
      <c r="G65" s="407">
        <v>275</v>
      </c>
      <c r="H65" s="407">
        <v>300</v>
      </c>
      <c r="I65" s="407">
        <v>300</v>
      </c>
      <c r="J65" s="407">
        <v>325</v>
      </c>
      <c r="K65" s="408">
        <v>300</v>
      </c>
      <c r="L65">
        <v>300</v>
      </c>
      <c r="M65">
        <v>300</v>
      </c>
      <c r="N65">
        <v>300</v>
      </c>
      <c r="O65">
        <v>300</v>
      </c>
      <c r="P65">
        <v>300</v>
      </c>
    </row>
    <row r="66" spans="1:16">
      <c r="A66" s="409">
        <v>85</v>
      </c>
      <c r="B66" s="410">
        <v>625</v>
      </c>
      <c r="C66" s="410">
        <v>450</v>
      </c>
      <c r="D66" s="410">
        <v>325</v>
      </c>
      <c r="E66" s="410">
        <v>275</v>
      </c>
      <c r="F66" s="410">
        <v>300</v>
      </c>
      <c r="G66" s="410">
        <v>275</v>
      </c>
      <c r="H66" s="410">
        <v>300</v>
      </c>
      <c r="I66" s="410">
        <v>300</v>
      </c>
      <c r="J66" s="410">
        <v>300</v>
      </c>
      <c r="K66" s="411">
        <v>300</v>
      </c>
      <c r="L66">
        <v>300</v>
      </c>
      <c r="M66">
        <v>300</v>
      </c>
      <c r="N66">
        <v>300</v>
      </c>
      <c r="O66">
        <v>300</v>
      </c>
      <c r="P66">
        <v>300</v>
      </c>
    </row>
    <row r="67" spans="1:16">
      <c r="A67" s="406">
        <v>90</v>
      </c>
      <c r="B67" s="407">
        <v>625</v>
      </c>
      <c r="C67" s="407">
        <v>425</v>
      </c>
      <c r="D67" s="407">
        <v>325</v>
      </c>
      <c r="E67" s="407">
        <v>275</v>
      </c>
      <c r="F67" s="407">
        <v>300</v>
      </c>
      <c r="G67" s="407">
        <v>275</v>
      </c>
      <c r="H67" s="407">
        <v>300</v>
      </c>
      <c r="I67" s="407">
        <v>300</v>
      </c>
      <c r="J67" s="407">
        <v>300</v>
      </c>
      <c r="K67" s="408">
        <v>300</v>
      </c>
      <c r="L67">
        <v>300</v>
      </c>
      <c r="M67">
        <v>300</v>
      </c>
      <c r="N67">
        <v>300</v>
      </c>
      <c r="O67">
        <v>300</v>
      </c>
      <c r="P67">
        <v>300</v>
      </c>
    </row>
    <row r="68" spans="1:16">
      <c r="A68" s="409">
        <v>95</v>
      </c>
      <c r="B68" s="410">
        <v>600</v>
      </c>
      <c r="C68" s="410">
        <v>425</v>
      </c>
      <c r="D68" s="410">
        <v>325</v>
      </c>
      <c r="E68" s="410">
        <v>275</v>
      </c>
      <c r="F68" s="410">
        <v>300</v>
      </c>
      <c r="G68" s="410">
        <v>275</v>
      </c>
      <c r="H68" s="410">
        <v>275</v>
      </c>
      <c r="I68" s="410">
        <v>300</v>
      </c>
      <c r="J68" s="410">
        <v>300</v>
      </c>
      <c r="K68" s="411">
        <v>300</v>
      </c>
      <c r="L68">
        <v>300</v>
      </c>
      <c r="M68">
        <v>300</v>
      </c>
      <c r="N68">
        <v>300</v>
      </c>
      <c r="O68">
        <v>300</v>
      </c>
      <c r="P68">
        <v>300</v>
      </c>
    </row>
    <row r="69" spans="1:16">
      <c r="A69" s="406">
        <v>100</v>
      </c>
      <c r="B69" s="407">
        <v>575</v>
      </c>
      <c r="C69" s="407">
        <v>400</v>
      </c>
      <c r="D69" s="407">
        <v>300</v>
      </c>
      <c r="E69" s="407">
        <v>250</v>
      </c>
      <c r="F69" s="407">
        <v>300</v>
      </c>
      <c r="G69" s="407">
        <v>275</v>
      </c>
      <c r="H69" s="407">
        <v>275</v>
      </c>
      <c r="I69" s="407">
        <v>275</v>
      </c>
      <c r="J69" s="407">
        <v>300</v>
      </c>
      <c r="K69" s="408">
        <v>300</v>
      </c>
      <c r="L69">
        <v>300</v>
      </c>
      <c r="M69">
        <v>300</v>
      </c>
      <c r="N69">
        <v>300</v>
      </c>
      <c r="O69">
        <v>300</v>
      </c>
      <c r="P69">
        <v>300</v>
      </c>
    </row>
    <row r="70" spans="1:16">
      <c r="A70" s="409">
        <v>105</v>
      </c>
      <c r="B70" s="410">
        <v>575</v>
      </c>
      <c r="C70" s="410">
        <v>400</v>
      </c>
      <c r="D70" s="410">
        <v>300</v>
      </c>
      <c r="E70" s="410">
        <v>250</v>
      </c>
      <c r="F70" s="410">
        <v>275</v>
      </c>
      <c r="G70" s="410">
        <v>275</v>
      </c>
      <c r="H70" s="410">
        <v>275</v>
      </c>
      <c r="I70" s="410">
        <v>275</v>
      </c>
      <c r="J70" s="410">
        <v>300</v>
      </c>
      <c r="K70" s="411">
        <v>275</v>
      </c>
      <c r="L70">
        <v>300</v>
      </c>
      <c r="M70">
        <v>300</v>
      </c>
      <c r="N70">
        <v>300</v>
      </c>
      <c r="O70">
        <v>300</v>
      </c>
      <c r="P70">
        <v>300</v>
      </c>
    </row>
    <row r="71" spans="1:16">
      <c r="A71" s="406">
        <v>110</v>
      </c>
      <c r="B71" s="407">
        <v>550</v>
      </c>
      <c r="C71" s="407">
        <v>375</v>
      </c>
      <c r="D71" s="407">
        <v>275</v>
      </c>
      <c r="E71" s="407">
        <v>250</v>
      </c>
      <c r="F71" s="407">
        <v>275</v>
      </c>
      <c r="G71" s="407">
        <v>275</v>
      </c>
      <c r="H71" s="407">
        <v>275</v>
      </c>
      <c r="I71" s="407">
        <v>275</v>
      </c>
      <c r="J71" s="407">
        <v>300</v>
      </c>
      <c r="K71" s="408">
        <v>275</v>
      </c>
      <c r="L71">
        <v>275</v>
      </c>
      <c r="M71">
        <v>300</v>
      </c>
      <c r="N71">
        <v>300</v>
      </c>
      <c r="O71">
        <v>300</v>
      </c>
      <c r="P71">
        <v>300</v>
      </c>
    </row>
    <row r="72" spans="1:16">
      <c r="A72" s="409">
        <v>115</v>
      </c>
      <c r="B72" s="410">
        <v>525</v>
      </c>
      <c r="C72" s="410">
        <v>375</v>
      </c>
      <c r="D72" s="410">
        <v>275</v>
      </c>
      <c r="E72" s="410">
        <v>225</v>
      </c>
      <c r="F72" s="410">
        <v>275</v>
      </c>
      <c r="G72" s="410">
        <v>275</v>
      </c>
      <c r="H72" s="410">
        <v>275</v>
      </c>
      <c r="I72" s="410">
        <v>275</v>
      </c>
      <c r="J72" s="410">
        <v>275</v>
      </c>
      <c r="K72" s="411">
        <v>275</v>
      </c>
      <c r="L72">
        <v>275</v>
      </c>
      <c r="M72">
        <v>300</v>
      </c>
      <c r="N72">
        <v>300</v>
      </c>
      <c r="O72">
        <v>300</v>
      </c>
      <c r="P72">
        <v>300</v>
      </c>
    </row>
    <row r="73" spans="1:16">
      <c r="A73" s="406">
        <v>120</v>
      </c>
      <c r="B73" s="407">
        <v>525</v>
      </c>
      <c r="C73" s="407">
        <v>375</v>
      </c>
      <c r="D73" s="407">
        <v>275</v>
      </c>
      <c r="E73" s="407">
        <v>225</v>
      </c>
      <c r="F73" s="407">
        <v>275</v>
      </c>
      <c r="G73" s="407">
        <v>275</v>
      </c>
      <c r="H73" s="407">
        <v>275</v>
      </c>
      <c r="I73" s="407">
        <v>275</v>
      </c>
      <c r="J73" s="407">
        <v>275</v>
      </c>
      <c r="K73" s="408">
        <v>275</v>
      </c>
      <c r="L73">
        <v>275</v>
      </c>
      <c r="M73">
        <v>275</v>
      </c>
      <c r="N73">
        <v>275</v>
      </c>
      <c r="O73">
        <v>300</v>
      </c>
      <c r="P73">
        <v>300</v>
      </c>
    </row>
    <row r="74" spans="1:16">
      <c r="A74" s="409">
        <v>125</v>
      </c>
      <c r="B74" s="410">
        <v>525</v>
      </c>
      <c r="C74" s="410">
        <v>350</v>
      </c>
      <c r="D74" s="410">
        <v>250</v>
      </c>
      <c r="E74" s="410">
        <v>225</v>
      </c>
      <c r="F74" s="410">
        <v>275</v>
      </c>
      <c r="G74" s="410">
        <v>275</v>
      </c>
      <c r="H74" s="410">
        <v>275</v>
      </c>
      <c r="I74" s="410">
        <v>275</v>
      </c>
      <c r="J74" s="410">
        <v>275</v>
      </c>
      <c r="K74" s="411">
        <v>275</v>
      </c>
      <c r="L74">
        <v>275</v>
      </c>
      <c r="M74">
        <v>275</v>
      </c>
      <c r="N74">
        <v>275</v>
      </c>
      <c r="O74">
        <v>300</v>
      </c>
      <c r="P74">
        <v>300</v>
      </c>
    </row>
    <row r="75" spans="1:16">
      <c r="A75" s="406">
        <v>130</v>
      </c>
      <c r="B75" s="407">
        <v>500</v>
      </c>
      <c r="C75" s="407">
        <v>350</v>
      </c>
      <c r="D75" s="407">
        <v>250</v>
      </c>
      <c r="E75" s="407">
        <v>225</v>
      </c>
      <c r="F75" s="407">
        <v>275</v>
      </c>
      <c r="G75" s="407">
        <v>275</v>
      </c>
      <c r="H75" s="407">
        <v>275</v>
      </c>
      <c r="I75" s="407">
        <v>275</v>
      </c>
      <c r="J75" s="407">
        <v>275</v>
      </c>
      <c r="K75" s="408">
        <v>275</v>
      </c>
      <c r="L75">
        <v>275</v>
      </c>
      <c r="M75">
        <v>275</v>
      </c>
      <c r="N75">
        <v>275</v>
      </c>
      <c r="O75">
        <v>275</v>
      </c>
      <c r="P75">
        <v>275</v>
      </c>
    </row>
    <row r="76" spans="1:16">
      <c r="A76" s="409">
        <v>135</v>
      </c>
      <c r="B76" s="410">
        <v>500</v>
      </c>
      <c r="C76" s="410">
        <v>350</v>
      </c>
      <c r="D76" s="410">
        <v>250</v>
      </c>
      <c r="E76" s="410">
        <v>225</v>
      </c>
      <c r="F76" s="410">
        <v>275</v>
      </c>
      <c r="G76" s="410">
        <v>275</v>
      </c>
      <c r="H76" s="410">
        <v>275</v>
      </c>
      <c r="I76" s="410">
        <v>275</v>
      </c>
      <c r="J76" s="410">
        <v>275</v>
      </c>
      <c r="K76" s="411">
        <v>275</v>
      </c>
      <c r="L76">
        <v>275</v>
      </c>
      <c r="M76">
        <v>275</v>
      </c>
      <c r="N76">
        <v>275</v>
      </c>
      <c r="O76">
        <v>275</v>
      </c>
      <c r="P76">
        <v>275</v>
      </c>
    </row>
    <row r="77" spans="1:16">
      <c r="A77" s="412">
        <v>140</v>
      </c>
      <c r="B77" s="413">
        <v>475</v>
      </c>
      <c r="C77" s="413">
        <v>350</v>
      </c>
      <c r="D77" s="413">
        <v>250</v>
      </c>
      <c r="E77" s="413">
        <v>225</v>
      </c>
      <c r="F77" s="413">
        <v>275</v>
      </c>
      <c r="G77" s="413">
        <v>275</v>
      </c>
      <c r="H77" s="413">
        <v>275</v>
      </c>
      <c r="I77" s="413">
        <v>275</v>
      </c>
      <c r="J77" s="413">
        <v>275</v>
      </c>
      <c r="K77" s="414">
        <v>275</v>
      </c>
      <c r="L77">
        <v>275</v>
      </c>
      <c r="M77">
        <v>275</v>
      </c>
      <c r="N77">
        <v>275</v>
      </c>
      <c r="O77">
        <v>275</v>
      </c>
      <c r="P77">
        <v>275</v>
      </c>
    </row>
    <row r="79" spans="1:16">
      <c r="A79" t="s">
        <v>703</v>
      </c>
    </row>
    <row r="80" spans="1:16">
      <c r="A80" t="s">
        <v>704</v>
      </c>
    </row>
    <row r="81" spans="1:1">
      <c r="A81" t="s">
        <v>705</v>
      </c>
    </row>
    <row r="82" spans="1:1">
      <c r="A82" t="s">
        <v>706</v>
      </c>
    </row>
    <row r="83" spans="1:1">
      <c r="A83" t="s">
        <v>707</v>
      </c>
    </row>
    <row r="84" spans="1:1">
      <c r="A84" t="s">
        <v>708</v>
      </c>
    </row>
    <row r="85" spans="1:1">
      <c r="A85" t="s">
        <v>709</v>
      </c>
    </row>
    <row r="86" spans="1:1">
      <c r="A86" t="s">
        <v>710</v>
      </c>
    </row>
  </sheetData>
  <sheetProtection password="CC29" sheet="1" objects="1" scenarios="1" selectLockedCells="1" selectUnlockedCells="1"/>
  <mergeCells count="1">
    <mergeCell ref="A22:K22"/>
  </mergeCells>
  <pageMargins left="0.25" right="0.25" top="0.75" bottom="0.75" header="0.3" footer="0.3"/>
  <pageSetup scale="87" fitToHeight="2" orientation="portrait" r:id="rId1"/>
  <headerFooter>
    <oddHeader>&amp;LAlaska Department of RevenueTax Division&amp;RPrinted:  &amp;D &amp;TPage: &amp;P of &amp;N</oddHeader>
  </headerFooter>
  <rowBreaks count="1" manualBreakCount="1">
    <brk id="28"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11</vt:i4>
      </vt:variant>
    </vt:vector>
  </HeadingPairs>
  <TitlesOfParts>
    <vt:vector size="48" baseType="lpstr">
      <vt:lpstr>Cover Sheet</vt:lpstr>
      <vt:lpstr>Graphs</vt:lpstr>
      <vt:lpstr>Revenue Option Descriptions</vt:lpstr>
      <vt:lpstr>Receipts Tax</vt:lpstr>
      <vt:lpstr>All Rev &amp; Projects</vt:lpstr>
      <vt:lpstr>Endowment</vt:lpstr>
      <vt:lpstr>PFD  Limits &amp; SB 114</vt:lpstr>
      <vt:lpstr>Extended Forecast</vt:lpstr>
      <vt:lpstr>FY 16-25 GFUR</vt:lpstr>
      <vt:lpstr>Petroleum - Non CIT</vt:lpstr>
      <vt:lpstr>base tax rate changes</vt:lpstr>
      <vt:lpstr>other tax rate changes</vt:lpstr>
      <vt:lpstr>Gas Reserves Tax</vt:lpstr>
      <vt:lpstr>Credits detail tables</vt:lpstr>
      <vt:lpstr>Credit Detail w Confidentiality</vt:lpstr>
      <vt:lpstr>Sales Tax</vt:lpstr>
      <vt:lpstr>Fishing Taxes</vt:lpstr>
      <vt:lpstr>Fuel Tax</vt:lpstr>
      <vt:lpstr>Personal Income Tax</vt:lpstr>
      <vt:lpstr>Corp Income Tax</vt:lpstr>
      <vt:lpstr>Capital Gains</vt:lpstr>
      <vt:lpstr>Lottery</vt:lpstr>
      <vt:lpstr>Gaming</vt:lpstr>
      <vt:lpstr>PFD lottery</vt:lpstr>
      <vt:lpstr>Mining Tax</vt:lpstr>
      <vt:lpstr>School Tax</vt:lpstr>
      <vt:lpstr>Property Tax</vt:lpstr>
      <vt:lpstr>Child Support Fee</vt:lpstr>
      <vt:lpstr>Health Care Provider Tax</vt:lpstr>
      <vt:lpstr>Tobacco</vt:lpstr>
      <vt:lpstr>Alcohol Tax</vt:lpstr>
      <vt:lpstr>Debt Servicing</vt:lpstr>
      <vt:lpstr>Uncollected Funds</vt:lpstr>
      <vt:lpstr>Ambler and Juneau Road</vt:lpstr>
      <vt:lpstr>Budget Sensitivity</vt:lpstr>
      <vt:lpstr>SB 97</vt:lpstr>
      <vt:lpstr>Cat Tax</vt:lpstr>
      <vt:lpstr>'Extended Forecast'!Performance</vt:lpstr>
      <vt:lpstr>'All Rev &amp; Projects'!Print_Area</vt:lpstr>
      <vt:lpstr>'Credit Detail w Confidentiality'!Print_Area</vt:lpstr>
      <vt:lpstr>'Credits detail tables'!Print_Area</vt:lpstr>
      <vt:lpstr>'Debt Servicing'!Print_Area</vt:lpstr>
      <vt:lpstr>'Extended Forecast'!Print_Area</vt:lpstr>
      <vt:lpstr>'FY 16-25 GFUR'!Print_Area</vt:lpstr>
      <vt:lpstr>Lottery!Print_Area</vt:lpstr>
      <vt:lpstr>'other tax rate changes'!Print_Area</vt:lpstr>
      <vt:lpstr>'Receipts Tax'!Print_Area</vt:lpstr>
      <vt:lpstr>'Debt Servicing'!Print_Titles</vt:lpstr>
    </vt:vector>
  </TitlesOfParts>
  <Company>DOR-SOA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Harper, Timothy E (DOR);Perry, Wyatt O (DOR);Herbert, David W (DOR)</dc:creator>
  <cp:lastModifiedBy>Herbert, David W (DOR)</cp:lastModifiedBy>
  <cp:lastPrinted>2015-04-13T21:57:45Z</cp:lastPrinted>
  <dcterms:created xsi:type="dcterms:W3CDTF">2014-08-22T19:03:23Z</dcterms:created>
  <dcterms:modified xsi:type="dcterms:W3CDTF">2015-06-07T03:54:29Z</dcterms:modified>
</cp:coreProperties>
</file>